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tabRatio="612" firstSheet="1" activeTab="1"/>
  </bookViews>
  <sheets>
    <sheet name="Свод - ПХД" sheetId="1" state="hidden" r:id="rId1"/>
    <sheet name="Европа" sheetId="4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Европа!$A$1:$D$150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9" i="44" l="1"/>
  <c r="D138" i="44"/>
  <c r="D137" i="44"/>
  <c r="D119" i="44"/>
  <c r="D118" i="44"/>
  <c r="D117" i="44"/>
  <c r="D15" i="44"/>
  <c r="D13" i="44"/>
  <c r="D17" i="44"/>
  <c r="D20" i="44" s="1"/>
  <c r="FP34" i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23" i="44" l="1"/>
  <c r="CY24" i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>
  <authors>
    <author>Бродникова И.П.</author>
  </authors>
  <commentList>
    <comment ref="BL28" authorId="0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<sst xmlns="http://schemas.openxmlformats.org/spreadsheetml/2006/main" count="900" uniqueCount="320">
  <si>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</si>
  <si>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</si>
  <si>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</si>
  <si>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</si>
  <si>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</si>
  <si>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</si>
  <si>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</si>
  <si>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</si>
  <si>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</si>
  <si>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</si>
  <si>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</si>
  <si>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</si>
  <si>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</si>
  <si>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</si>
  <si>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</si>
  <si>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</si>
  <si>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</si>
  <si>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</si>
  <si>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</si>
  <si>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</si>
  <si>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</si>
  <si>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</si>
  <si>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</si>
  <si>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</si>
  <si>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</si>
  <si>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</si>
  <si>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</si>
  <si>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</si>
  <si>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</si>
  <si>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</si>
  <si>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</si>
  <si>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</si>
  <si>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</si>
  <si>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</si>
  <si>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</si>
  <si>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</si>
  <si>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</si>
  <si>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</si>
  <si>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</si>
  <si>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</si>
  <si>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</si>
  <si>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</si>
  <si>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</si>
  <si>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</si>
  <si>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</si>
  <si>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</si>
  <si>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</si>
  <si>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</si>
  <si>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</si>
  <si>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</si>
  <si>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</si>
  <si>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</si>
  <si>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</si>
  <si>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</si>
  <si>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</si>
  <si>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</si>
  <si>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</si>
  <si>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</si>
  <si>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</si>
  <si>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</si>
  <si>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</si>
  <si>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</si>
  <si>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</si>
  <si>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</si>
  <si>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</si>
  <si>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</si>
  <si>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</si>
  <si>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</si>
  <si>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</si>
  <si>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</si>
  <si>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</si>
  <si>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</si>
  <si>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</si>
  <si>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</si>
  <si>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</si>
  <si>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</si>
  <si>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</si>
  <si>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</si>
  <si>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</si>
  <si>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</si>
  <si>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</si>
  <si>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</si>
  <si>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</si>
  <si>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</si>
  <si>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</si>
  <si>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</si>
  <si>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</si>
  <si>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</si>
  <si>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</si>
  <si>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</si>
  <si>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</si>
  <si>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</si>
  <si>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</si>
  <si>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</si>
  <si>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</si>
  <si>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</si>
  <si>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</si>
  <si>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</si>
  <si>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</si>
  <si>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</si>
  <si>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</si>
  <si>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</si>
  <si>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</si>
  <si>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</si>
  <si>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</si>
  <si>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</si>
  <si>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</si>
  <si>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</si>
  <si>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</si>
  <si>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</si>
  <si>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</si>
  <si>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</si>
  <si>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</si>
  <si>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</si>
  <si>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</si>
  <si>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</si>
  <si>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</si>
  <si>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</si>
  <si>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</si>
  <si>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</si>
  <si>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</si>
  <si>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</si>
  <si>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</si>
  <si>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</si>
  <si>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</si>
  <si>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</si>
  <si>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</si>
  <si>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</si>
  <si>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</si>
  <si>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</si>
  <si>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</si>
  <si>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</si>
  <si>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</si>
  <si>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</si>
  <si>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</si>
  <si>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</si>
  <si>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</si>
  <si>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</si>
  <si>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</si>
  <si>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</si>
  <si>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</si>
  <si>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</si>
  <si>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</si>
  <si>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</si>
  <si>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</si>
  <si>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</si>
  <si>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</si>
  <si>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</si>
  <si>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</si>
  <si>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</si>
  <si>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</si>
  <si>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</si>
  <si>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</si>
  <si>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</si>
  <si>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</si>
  <si>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</si>
  <si>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</si>
  <si>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</si>
  <si>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</si>
  <si>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</si>
  <si>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</si>
  <si>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</si>
  <si>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</si>
  <si>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</si>
  <si>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</si>
  <si>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</si>
  <si>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</si>
  <si>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</si>
  <si>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</si>
  <si>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</si>
  <si>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</si>
  <si>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</si>
  <si>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</si>
  <si>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</si>
  <si>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</si>
  <si>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</si>
  <si>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</si>
  <si>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</si>
  <si>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</si>
  <si>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</si>
  <si>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</si>
  <si>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</si>
  <si>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</si>
  <si>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</si>
  <si>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</si>
  <si>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</si>
  <si>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</si>
  <si>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</si>
  <si>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</si>
  <si>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</si>
  <si>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</si>
  <si>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</si>
  <si>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</si>
  <si>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</si>
  <si>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</si>
  <si>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</si>
  <si>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</si>
  <si>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</si>
  <si>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</si>
  <si>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</si>
  <si>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</si>
  <si>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</si>
  <si>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</si>
  <si>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</si>
  <si>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</si>
  <si>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</si>
  <si>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</si>
  <si>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</si>
  <si>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</si>
  <si>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</si>
  <si>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</si>
  <si>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</si>
  <si>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</si>
  <si>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</si>
  <si>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</si>
  <si>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</si>
  <si>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</si>
  <si>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</si>
  <si>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</si>
  <si>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</si>
  <si>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</si>
  <si>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</si>
  <si>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</si>
  <si>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</si>
  <si>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</si>
  <si>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</si>
  <si>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</si>
  <si>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</si>
  <si>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</si>
  <si>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мест общего пользования 
(уборка лестничных клеток)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</si>
  <si>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</si>
  <si>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</si>
  <si>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</si>
  <si>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</si>
  <si>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</si>
  <si>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</si>
  <si>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</si>
  <si>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</si>
  <si>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</si>
  <si>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</si>
  <si>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</si>
  <si>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</si>
  <si>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</si>
  <si>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</si>
  <si>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</si>
  <si>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</si>
  <si>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</si>
  <si>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</si>
  <si>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</si>
  <si>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</si>
  <si>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</si>
  <si>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</si>
  <si>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</si>
  <si>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</si>
  <si>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</si>
  <si>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</si>
  <si>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</si>
  <si>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</si>
  <si>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</si>
  <si>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</si>
  <si>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</si>
  <si>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</si>
  <si>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</si>
  <si>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</si>
  <si>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</si>
  <si>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</si>
  <si>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</si>
  <si>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</si>
  <si>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</si>
  <si>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</si>
  <si>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</si>
  <si>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</si>
  <si>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</si>
  <si>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</si>
  <si>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</si>
  <si>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</si>
  <si>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</si>
  <si>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</si>
  <si>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</si>
  <si>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</si>
  <si>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</si>
  <si>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</si>
  <si>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</si>
  <si>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</si>
  <si>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</si>
  <si>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</si>
  <si>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</si>
  <si>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</si>
  <si>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</si>
  <si>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</si>
  <si>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</si>
  <si>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</si>
  <si>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</si>
  <si>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</si>
  <si>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</si>
  <si>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</si>
  <si>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</si>
  <si>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</si>
  <si>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</si>
  <si>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</si>
  <si>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</si>
  <si>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</si>
  <si>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</si>
  <si>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</si>
  <si>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</si>
  <si>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</si>
  <si>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</si>
  <si>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</si>
  <si>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</si>
  <si>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</si>
  <si>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</si>
  <si>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</si>
  <si>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Теплостроймонтаж</t>
  </si>
  <si>
    <t>Паспортный стол
(жилые помещения)</t>
  </si>
  <si>
    <t>по договору с ООО ЛИСТ</t>
  </si>
  <si>
    <t xml:space="preserve">Переплата потребителей </t>
  </si>
  <si>
    <t>Санитарное содержание  МКД  и  придомовой территории</t>
  </si>
  <si>
    <t>Расходы по  техническому обслуживанию</t>
  </si>
  <si>
    <t>ВДГО</t>
  </si>
  <si>
    <t>д.Черная  ул.Европейская дом.8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</si>
</sst>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3" fontId="6" fillId="0" borderId="0" xfId="2" applyNumberFormat="1" applyFont="1"/>
    <xf numFmtId="4" fontId="7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2" applyFont="1"/>
    <xf numFmtId="165" fontId="9" fillId="0" borderId="0" xfId="2" applyNumberFormat="1" applyFont="1"/>
    <xf numFmtId="0" fontId="10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/>
    <xf numFmtId="9" fontId="7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0" fontId="6" fillId="5" borderId="0" xfId="2" applyFont="1" applyFill="1"/>
    <xf numFmtId="0" fontId="6" fillId="6" borderId="0" xfId="2" applyFont="1" applyFill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/>
    </xf>
    <xf numFmtId="0" fontId="41" fillId="0" borderId="0" xfId="0" applyFont="1"/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left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7" xfId="0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6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0">
    <cellStyle name="Гиперссылка" xfId="4" builtinId="8"/>
    <cellStyle name="Обычный" xfId="0" builtinId="0"/>
    <cellStyle name="Обычный 2" xfId="5"/>
    <cellStyle name="Обычный 2 2 2" xfId="2"/>
    <cellStyle name="Обычный 2 2 2 2" xfId="6"/>
    <cellStyle name="Обычный 2 2 2 3" xfId="9"/>
    <cellStyle name="Процентный" xfId="1" builtinId="5"/>
    <cellStyle name="Процентный 2" xfId="7"/>
    <cellStyle name="Процентный 2 2" xfId="3"/>
    <cellStyle name="Финансовый 2" xfId="8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2021/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09375" defaultRowHeight="15.6" x14ac:dyDescent="0.3"/>
  <cols>
    <col min="1" max="1" width="15.5546875" style="4" customWidth="1"/>
    <col min="2" max="2" width="21.6640625" style="4" customWidth="1"/>
    <col min="3" max="3" width="32.5546875" style="3" customWidth="1"/>
    <col min="4" max="5" width="15" style="4" customWidth="1"/>
    <col min="6" max="6" width="13.109375" style="4" customWidth="1"/>
    <col min="7" max="8" width="12.88671875" style="4" customWidth="1"/>
    <col min="9" max="9" width="12.88671875" style="242" customWidth="1"/>
    <col min="10" max="12" width="12.88671875" style="4" customWidth="1"/>
    <col min="13" max="13" width="17.109375" style="4" customWidth="1"/>
    <col min="14" max="14" width="12.88671875" style="4" customWidth="1"/>
    <col min="15" max="24" width="15" style="5" customWidth="1"/>
    <col min="25" max="25" width="15.5546875" style="6" customWidth="1"/>
    <col min="26" max="26" width="17.5546875" style="7" customWidth="1"/>
    <col min="27" max="28" width="16.44140625" style="8" customWidth="1"/>
    <col min="29" max="29" width="13.88671875" style="8" customWidth="1"/>
    <col min="30" max="31" width="12.44140625" style="8" customWidth="1"/>
    <col min="32" max="32" width="14.33203125" style="9" customWidth="1"/>
    <col min="33" max="33" width="12.44140625" style="8" customWidth="1"/>
    <col min="34" max="36" width="13.5546875" style="8" customWidth="1"/>
    <col min="37" max="38" width="12.44140625" style="4" customWidth="1"/>
    <col min="39" max="40" width="11.6640625" style="4" customWidth="1"/>
    <col min="41" max="42" width="12.44140625" style="4" customWidth="1"/>
    <col min="43" max="43" width="10.109375" style="11" customWidth="1"/>
    <col min="44" max="44" width="16.109375" style="12" customWidth="1"/>
    <col min="45" max="45" width="13.33203125" style="4" customWidth="1"/>
    <col min="46" max="46" width="12" style="243" customWidth="1"/>
    <col min="47" max="47" width="11.88671875" style="4" customWidth="1"/>
    <col min="48" max="48" width="13.33203125" style="4" customWidth="1"/>
    <col min="49" max="49" width="8.33203125" style="13" customWidth="1"/>
    <col min="50" max="50" width="14.6640625" style="8" customWidth="1"/>
    <col min="51" max="51" width="14.6640625" style="14" customWidth="1"/>
    <col min="52" max="52" width="13.33203125" style="14" customWidth="1"/>
    <col min="53" max="53" width="11.5546875" style="4" customWidth="1"/>
    <col min="54" max="54" width="16.109375" style="4" customWidth="1"/>
    <col min="55" max="55" width="13" style="244" customWidth="1"/>
    <col min="56" max="56" width="13.109375" style="4" customWidth="1"/>
    <col min="57" max="57" width="19.44140625" style="4" customWidth="1"/>
    <col min="58" max="59" width="13.109375" style="4" customWidth="1"/>
    <col min="60" max="60" width="10.44140625" style="244" customWidth="1"/>
    <col min="61" max="61" width="11.5546875" style="15" customWidth="1"/>
    <col min="62" max="62" width="16" style="15" customWidth="1"/>
    <col min="63" max="70" width="13.109375" style="4" customWidth="1"/>
    <col min="71" max="71" width="15.109375" style="245" customWidth="1"/>
    <col min="72" max="74" width="11.33203125" style="246" customWidth="1"/>
    <col min="75" max="75" width="16.33203125" style="246" customWidth="1"/>
    <col min="76" max="76" width="11.33203125" style="16" customWidth="1"/>
    <col min="77" max="80" width="11.33203125" style="17" customWidth="1"/>
    <col min="81" max="81" width="15" style="253" customWidth="1"/>
    <col min="82" max="82" width="13.109375" style="253" customWidth="1"/>
    <col min="83" max="84" width="12.88671875" style="253" customWidth="1"/>
    <col min="85" max="85" width="17.109375" style="4" customWidth="1"/>
    <col min="86" max="86" width="19" style="243" customWidth="1"/>
    <col min="87" max="93" width="18.6640625" style="247" customWidth="1"/>
    <col min="94" max="94" width="16.88671875" style="248" customWidth="1"/>
    <col min="95" max="95" width="19" style="243" customWidth="1"/>
    <col min="96" max="98" width="16.88671875" style="248" customWidth="1"/>
    <col min="99" max="99" width="19" style="243" customWidth="1"/>
    <col min="100" max="102" width="16.88671875" style="248" customWidth="1"/>
    <col min="103" max="104" width="16.88671875" style="4" customWidth="1"/>
    <col min="105" max="107" width="18.6640625" style="247" customWidth="1"/>
    <col min="108" max="115" width="16.88671875" style="248" customWidth="1"/>
    <col min="116" max="116" width="18.6640625" style="247" customWidth="1"/>
    <col min="117" max="117" width="16.88671875" style="248" customWidth="1"/>
    <col min="118" max="128" width="16.88671875" style="4" customWidth="1"/>
    <col min="129" max="129" width="19" style="243" customWidth="1"/>
    <col min="130" max="131" width="17.6640625" style="249" customWidth="1"/>
    <col min="132" max="132" width="12.33203125" style="249" customWidth="1"/>
    <col min="133" max="133" width="20.33203125" style="250" customWidth="1"/>
    <col min="134" max="138" width="16" style="4" customWidth="1"/>
    <col min="139" max="139" width="4.109375" style="4" customWidth="1"/>
    <col min="140" max="142" width="18.44140625" style="18" hidden="1" customWidth="1"/>
    <col min="143" max="143" width="18.109375" style="18" hidden="1" customWidth="1"/>
    <col min="144" max="148" width="19.33203125" style="18" hidden="1" customWidth="1"/>
    <col min="149" max="150" width="19.33203125" style="4" customWidth="1"/>
    <col min="151" max="151" width="5.109375" style="4" customWidth="1"/>
    <col min="152" max="156" width="16.6640625" style="249" customWidth="1"/>
    <col min="157" max="157" width="18.44140625" style="4" customWidth="1"/>
    <col min="158" max="158" width="16.109375" style="251" customWidth="1"/>
    <col min="159" max="159" width="16.6640625" style="4" customWidth="1"/>
    <col min="160" max="162" width="15" style="4" customWidth="1"/>
    <col min="163" max="163" width="14.88671875" style="4" customWidth="1"/>
    <col min="164" max="164" width="15.5546875" style="4" customWidth="1"/>
    <col min="165" max="165" width="14.88671875" style="4" customWidth="1"/>
    <col min="166" max="166" width="17.6640625" style="4" customWidth="1"/>
    <col min="167" max="167" width="18" style="4" customWidth="1"/>
    <col min="168" max="168" width="14.5546875" style="4" customWidth="1"/>
    <col min="169" max="169" width="15.44140625" style="4" customWidth="1"/>
    <col min="170" max="171" width="16" style="4" customWidth="1"/>
    <col min="172" max="174" width="14.88671875" style="15" customWidth="1"/>
    <col min="175" max="175" width="4.44140625" style="245" customWidth="1"/>
    <col min="176" max="178" width="16" style="4" customWidth="1"/>
    <col min="179" max="182" width="14.88671875" style="15" customWidth="1"/>
    <col min="183" max="16384" width="9.109375" style="4"/>
  </cols>
  <sheetData>
    <row r="1" spans="1:182" x14ac:dyDescent="0.3">
      <c r="A1" s="1">
        <v>2020</v>
      </c>
      <c r="B1" s="2" t="s">
        <v>0</v>
      </c>
      <c r="I1" s="4"/>
      <c r="AM1" s="10"/>
      <c r="AT1" s="4"/>
      <c r="BC1" s="4"/>
      <c r="BH1" s="4"/>
      <c r="BS1" s="4"/>
      <c r="BT1" s="10"/>
      <c r="BU1" s="10"/>
      <c r="BV1" s="10"/>
      <c r="BW1" s="10"/>
      <c r="CC1" s="4"/>
      <c r="CD1" s="4"/>
      <c r="CE1" s="4"/>
      <c r="CF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Y1" s="4"/>
      <c r="DZ1" s="4"/>
      <c r="EA1" s="4"/>
      <c r="EB1" s="4"/>
      <c r="EC1" s="13"/>
      <c r="EV1" s="4"/>
      <c r="EW1" s="4"/>
      <c r="EX1" s="4"/>
      <c r="EY1" s="4"/>
      <c r="EZ1" s="4"/>
      <c r="FB1" s="4"/>
      <c r="FS1" s="4"/>
    </row>
    <row r="2" spans="1:182" s="19" customFormat="1" ht="15.75" customHeight="1" x14ac:dyDescent="0.3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3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3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3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54"/>
      <c r="CD5" s="254"/>
      <c r="CE5" s="254"/>
      <c r="CF5" s="254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3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60"/>
      <c r="CD6" s="260"/>
      <c r="CE6" s="260"/>
      <c r="CF6" s="260"/>
      <c r="CG6" s="255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3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60"/>
      <c r="CD7" s="260"/>
      <c r="CE7" s="260"/>
      <c r="CF7" s="260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3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60"/>
      <c r="CD8" s="260"/>
      <c r="CE8" s="260"/>
      <c r="CF8" s="260"/>
      <c r="CG8" s="256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5" customFormat="1" ht="24.75" customHeight="1" x14ac:dyDescent="0.3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57"/>
      <c r="CD9" s="257"/>
      <c r="CE9" s="257"/>
      <c r="CF9" s="257"/>
      <c r="CG9" s="257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0" customFormat="1" ht="44.25" customHeight="1" x14ac:dyDescent="0.3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58"/>
      <c r="CD10" s="258"/>
      <c r="CE10" s="258"/>
      <c r="CF10" s="258"/>
      <c r="CG10" s="258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3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60"/>
      <c r="CD11" s="260"/>
      <c r="CE11" s="260"/>
      <c r="CF11" s="260"/>
      <c r="CG11" s="259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3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61" t="s">
        <v>217</v>
      </c>
      <c r="CD12" s="262"/>
      <c r="CE12" s="262"/>
      <c r="CF12" s="262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3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63" t="s">
        <v>20</v>
      </c>
      <c r="CD13" s="263" t="s">
        <v>22</v>
      </c>
      <c r="CE13" s="263" t="s">
        <v>23</v>
      </c>
      <c r="CF13" s="263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3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64" t="s">
        <v>17</v>
      </c>
      <c r="CD14" s="264" t="s">
        <v>17</v>
      </c>
      <c r="CE14" s="264" t="s">
        <v>17</v>
      </c>
      <c r="CF14" s="264"/>
      <c r="CG14" s="275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3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64"/>
      <c r="CD15" s="264"/>
      <c r="CE15" s="264"/>
      <c r="CF15" s="264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3">
      <c r="A16" s="139" t="s">
        <v>181</v>
      </c>
      <c r="B16" s="139" t="s">
        <v>182</v>
      </c>
      <c r="C16" s="140">
        <f>+COUNTA(C17:C35)</f>
        <v>18</v>
      </c>
      <c r="D16" s="141"/>
      <c r="E16" s="141"/>
      <c r="F16" s="141"/>
      <c r="G16" s="141"/>
      <c r="H16" s="141"/>
      <c r="I16" s="142"/>
      <c r="J16" s="141"/>
      <c r="K16" s="141"/>
      <c r="L16" s="141"/>
      <c r="M16" s="143"/>
      <c r="N16" s="144"/>
      <c r="O16" s="145">
        <f t="shared" ref="O16:BU16" si="0">+SUM(O17:O35)</f>
        <v>196800</v>
      </c>
      <c r="P16" s="146">
        <f t="shared" si="0"/>
        <v>118397</v>
      </c>
      <c r="Q16" s="145">
        <f t="shared" si="0"/>
        <v>316966.81000000006</v>
      </c>
      <c r="R16" s="146">
        <f t="shared" si="0"/>
        <v>237278</v>
      </c>
      <c r="S16" s="145">
        <f t="shared" si="0"/>
        <v>150158.26</v>
      </c>
      <c r="T16" s="146">
        <f t="shared" si="0"/>
        <v>74163</v>
      </c>
      <c r="U16" s="145">
        <f t="shared" si="0"/>
        <v>209607.49999999997</v>
      </c>
      <c r="V16" s="146">
        <f t="shared" si="0"/>
        <v>153742</v>
      </c>
      <c r="W16" s="145">
        <f t="shared" si="0"/>
        <v>19500</v>
      </c>
      <c r="X16" s="146">
        <f t="shared" si="0"/>
        <v>0</v>
      </c>
      <c r="Y16" s="147">
        <f t="shared" si="0"/>
        <v>747412.39999999991</v>
      </c>
      <c r="Z16" s="148">
        <f t="shared" si="0"/>
        <v>340029.20000000007</v>
      </c>
      <c r="AA16" s="149">
        <f t="shared" si="0"/>
        <v>282406.70000000007</v>
      </c>
      <c r="AB16" s="150">
        <f>+SUM(AB17:AB35)</f>
        <v>211851.3</v>
      </c>
      <c r="AC16" s="151">
        <f t="shared" si="0"/>
        <v>197966.99999999997</v>
      </c>
      <c r="AD16" s="151">
        <f t="shared" si="0"/>
        <v>2548.2000000000003</v>
      </c>
      <c r="AE16" s="151">
        <f t="shared" si="0"/>
        <v>11336.099999999999</v>
      </c>
      <c r="AF16" s="152">
        <f t="shared" si="0"/>
        <v>33614.699999999997</v>
      </c>
      <c r="AG16" s="153">
        <f t="shared" si="0"/>
        <v>22157.200000000001</v>
      </c>
      <c r="AH16" s="154">
        <f t="shared" si="0"/>
        <v>39495</v>
      </c>
      <c r="AI16" s="154">
        <f t="shared" si="0"/>
        <v>15158</v>
      </c>
      <c r="AJ16" s="154">
        <f t="shared" si="0"/>
        <v>24303</v>
      </c>
      <c r="AK16" s="147">
        <f t="shared" si="0"/>
        <v>36285</v>
      </c>
      <c r="AL16" s="147">
        <f t="shared" si="0"/>
        <v>4624</v>
      </c>
      <c r="AM16" s="147">
        <f t="shared" si="0"/>
        <v>4625</v>
      </c>
      <c r="AN16" s="147">
        <f t="shared" si="0"/>
        <v>1</v>
      </c>
      <c r="AO16" s="147">
        <f t="shared" si="0"/>
        <v>2674</v>
      </c>
      <c r="AP16" s="147">
        <f t="shared" si="0"/>
        <v>0</v>
      </c>
      <c r="AQ16" s="155">
        <f t="shared" si="0"/>
        <v>146</v>
      </c>
      <c r="AR16" s="155">
        <f t="shared" si="0"/>
        <v>40</v>
      </c>
      <c r="AS16" s="156">
        <f t="shared" si="0"/>
        <v>158</v>
      </c>
      <c r="AT16" s="157">
        <f t="shared" si="0"/>
        <v>158</v>
      </c>
      <c r="AU16" s="158">
        <f t="shared" si="0"/>
        <v>0</v>
      </c>
      <c r="AV16" s="158">
        <f t="shared" si="0"/>
        <v>0</v>
      </c>
      <c r="AW16" s="159">
        <f t="shared" si="0"/>
        <v>54</v>
      </c>
      <c r="AX16" s="160">
        <f t="shared" si="0"/>
        <v>22157.200000000001</v>
      </c>
      <c r="AY16" s="160">
        <f t="shared" si="0"/>
        <v>30672.6</v>
      </c>
      <c r="AZ16" s="160">
        <f t="shared" si="0"/>
        <v>81055.100000000006</v>
      </c>
      <c r="BA16" s="159">
        <f t="shared" si="0"/>
        <v>0</v>
      </c>
      <c r="BB16" s="159">
        <f t="shared" si="0"/>
        <v>0</v>
      </c>
      <c r="BC16" s="161">
        <f t="shared" si="0"/>
        <v>0</v>
      </c>
      <c r="BD16" s="162">
        <f t="shared" si="0"/>
        <v>0</v>
      </c>
      <c r="BE16" s="162">
        <f t="shared" si="0"/>
        <v>0</v>
      </c>
      <c r="BF16" s="162">
        <f t="shared" si="0"/>
        <v>0</v>
      </c>
      <c r="BG16" s="162">
        <f t="shared" si="0"/>
        <v>0</v>
      </c>
      <c r="BH16" s="161">
        <f t="shared" si="0"/>
        <v>0</v>
      </c>
      <c r="BI16" s="162">
        <f t="shared" si="0"/>
        <v>0</v>
      </c>
      <c r="BJ16" s="162">
        <f t="shared" si="0"/>
        <v>0</v>
      </c>
      <c r="BK16" s="139">
        <f t="shared" si="0"/>
        <v>0</v>
      </c>
      <c r="BL16" s="139">
        <f t="shared" si="0"/>
        <v>30</v>
      </c>
      <c r="BM16" s="156">
        <f t="shared" si="0"/>
        <v>0</v>
      </c>
      <c r="BN16" s="139">
        <f t="shared" si="0"/>
        <v>27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63">
        <f t="shared" si="0"/>
        <v>211851.3</v>
      </c>
      <c r="BT16" s="164">
        <f t="shared" si="0"/>
        <v>1.0000000000000002</v>
      </c>
      <c r="BU16" s="164">
        <f t="shared" si="0"/>
        <v>0.39400000000000013</v>
      </c>
      <c r="BV16" s="164"/>
      <c r="BW16" s="163">
        <f>+SUM(BW17:BW35)</f>
        <v>1420830.7999999998</v>
      </c>
      <c r="BX16" s="165">
        <f>+SUM(BX17:BX35)</f>
        <v>124</v>
      </c>
      <c r="BY16" s="166"/>
      <c r="BZ16" s="166"/>
      <c r="CA16" s="166"/>
      <c r="CB16" s="166"/>
      <c r="CC16" s="265"/>
      <c r="CD16" s="265"/>
      <c r="CE16" s="265"/>
      <c r="CF16" s="265"/>
      <c r="CG16" s="143"/>
      <c r="CH16" s="167">
        <f t="shared" ref="CH16:EH16" si="1">+SUM(CH17:CH35)</f>
        <v>46283909</v>
      </c>
      <c r="CI16" s="168">
        <f t="shared" si="1"/>
        <v>42392397</v>
      </c>
      <c r="CJ16" s="168">
        <f t="shared" si="1"/>
        <v>594462</v>
      </c>
      <c r="CK16" s="168">
        <f t="shared" si="1"/>
        <v>1355101</v>
      </c>
      <c r="CL16" s="168">
        <f t="shared" si="1"/>
        <v>2780084</v>
      </c>
      <c r="CM16" s="168">
        <f t="shared" si="1"/>
        <v>34904</v>
      </c>
      <c r="CN16" s="168">
        <f t="shared" si="1"/>
        <v>84605</v>
      </c>
      <c r="CO16" s="168">
        <f t="shared" si="1"/>
        <v>337995</v>
      </c>
      <c r="CP16" s="169">
        <f t="shared" si="1"/>
        <v>1295639</v>
      </c>
      <c r="CQ16" s="167">
        <f t="shared" si="1"/>
        <v>45859875.890999995</v>
      </c>
      <c r="CR16" s="170">
        <f t="shared" si="1"/>
        <v>43604129.330000006</v>
      </c>
      <c r="CS16" s="170">
        <f t="shared" si="1"/>
        <v>655802.09100000025</v>
      </c>
      <c r="CT16" s="170">
        <f t="shared" si="1"/>
        <v>1599944.4700000002</v>
      </c>
      <c r="CU16" s="167">
        <f t="shared" si="1"/>
        <v>35428984.879999995</v>
      </c>
      <c r="CV16" s="171">
        <f t="shared" si="1"/>
        <v>34338507.990000002</v>
      </c>
      <c r="CW16" s="171">
        <f t="shared" si="1"/>
        <v>319423.11000000004</v>
      </c>
      <c r="CX16" s="171">
        <f t="shared" si="1"/>
        <v>771053.77999999991</v>
      </c>
      <c r="CY16" s="172"/>
      <c r="CZ16" s="172"/>
      <c r="DA16" s="168">
        <f t="shared" si="1"/>
        <v>374116.44999999995</v>
      </c>
      <c r="DB16" s="168">
        <f t="shared" si="1"/>
        <v>3929.3399999999997</v>
      </c>
      <c r="DC16" s="168">
        <f t="shared" si="1"/>
        <v>384912.9200000001</v>
      </c>
      <c r="DD16" s="170">
        <f t="shared" si="1"/>
        <v>405189.48000000004</v>
      </c>
      <c r="DE16" s="170">
        <f t="shared" si="1"/>
        <v>773.3</v>
      </c>
      <c r="DF16" s="170">
        <f t="shared" si="1"/>
        <v>7463478.2299999986</v>
      </c>
      <c r="DG16" s="170">
        <f t="shared" si="1"/>
        <v>178248.92</v>
      </c>
      <c r="DH16" s="171">
        <f t="shared" si="1"/>
        <v>310877.01</v>
      </c>
      <c r="DI16" s="171">
        <f t="shared" si="1"/>
        <v>570.33000000000004</v>
      </c>
      <c r="DJ16" s="171">
        <f t="shared" si="1"/>
        <v>5579174.3700000001</v>
      </c>
      <c r="DK16" s="171">
        <f t="shared" si="1"/>
        <v>137308.57999999999</v>
      </c>
      <c r="DL16" s="168">
        <f t="shared" si="1"/>
        <v>893032.57000000018</v>
      </c>
      <c r="DM16" s="171">
        <f t="shared" si="1"/>
        <v>583580</v>
      </c>
      <c r="DN16" s="172">
        <f t="shared" si="1"/>
        <v>5428429.4800000004</v>
      </c>
      <c r="DO16" s="172">
        <f t="shared" si="1"/>
        <v>5705056.0999999996</v>
      </c>
      <c r="DP16" s="172">
        <f t="shared" si="1"/>
        <v>4381944.9800000004</v>
      </c>
      <c r="DQ16" s="172">
        <f t="shared" si="1"/>
        <v>3681050.53</v>
      </c>
      <c r="DR16" s="172">
        <f t="shared" si="1"/>
        <v>2930317.8099999996</v>
      </c>
      <c r="DS16" s="172">
        <f t="shared" si="1"/>
        <v>12438.38</v>
      </c>
      <c r="DT16" s="172">
        <f t="shared" si="1"/>
        <v>8854.73</v>
      </c>
      <c r="DU16" s="172">
        <f t="shared" si="1"/>
        <v>4115377.2699999996</v>
      </c>
      <c r="DV16" s="172">
        <f t="shared" si="1"/>
        <v>3220942.2300000004</v>
      </c>
      <c r="DW16" s="172">
        <f t="shared" si="1"/>
        <v>46361071.669999987</v>
      </c>
      <c r="DX16" s="172">
        <f t="shared" si="1"/>
        <v>38676194.160000004</v>
      </c>
      <c r="DY16" s="167">
        <f t="shared" si="1"/>
        <v>72666086.978</v>
      </c>
      <c r="DZ16" s="173">
        <f t="shared" si="1"/>
        <v>5554068</v>
      </c>
      <c r="EA16" s="174">
        <f t="shared" si="1"/>
        <v>14696405.050000001</v>
      </c>
      <c r="EB16" s="175">
        <f t="shared" si="1"/>
        <v>5.0399761730679966</v>
      </c>
      <c r="EC16" s="172">
        <f t="shared" si="1"/>
        <v>-26382177.978</v>
      </c>
      <c r="ED16" s="172">
        <f t="shared" si="1"/>
        <v>675000</v>
      </c>
      <c r="EE16" s="172">
        <f t="shared" si="1"/>
        <v>426000</v>
      </c>
      <c r="EF16" s="172">
        <f t="shared" si="1"/>
        <v>90000</v>
      </c>
      <c r="EG16" s="172">
        <f t="shared" si="1"/>
        <v>8100</v>
      </c>
      <c r="EH16" s="172">
        <f t="shared" si="1"/>
        <v>66041</v>
      </c>
      <c r="EI16" s="176"/>
      <c r="EJ16" s="177">
        <f t="shared" ref="EJ16:ET16" si="2">+SUM(EJ17:EJ35)</f>
        <v>365391.5</v>
      </c>
      <c r="EK16" s="177">
        <f t="shared" si="2"/>
        <v>231528</v>
      </c>
      <c r="EL16" s="177">
        <f t="shared" si="2"/>
        <v>307144</v>
      </c>
      <c r="EM16" s="177">
        <f t="shared" si="2"/>
        <v>120391.5</v>
      </c>
      <c r="EN16" s="177">
        <f t="shared" si="2"/>
        <v>75228</v>
      </c>
      <c r="EO16" s="177">
        <f t="shared" si="2"/>
        <v>57882</v>
      </c>
      <c r="EP16" s="177">
        <f t="shared" si="2"/>
        <v>94716</v>
      </c>
      <c r="EQ16" s="177">
        <f t="shared" si="2"/>
        <v>68406</v>
      </c>
      <c r="ER16" s="177">
        <f t="shared" si="2"/>
        <v>0</v>
      </c>
      <c r="ES16" s="172">
        <f t="shared" si="2"/>
        <v>10315871</v>
      </c>
      <c r="ET16" s="172">
        <f t="shared" si="2"/>
        <v>3115393.0500000003</v>
      </c>
      <c r="EU16" s="176"/>
      <c r="EV16" s="178">
        <f>+SUM(EV17:EV35)</f>
        <v>322460.92799999996</v>
      </c>
      <c r="EW16" s="178">
        <f>+SUM(EW17:EW35)</f>
        <v>1879213</v>
      </c>
      <c r="EX16" s="178">
        <f>+SUM(EX17:EX35)</f>
        <v>532912</v>
      </c>
      <c r="EY16" s="178">
        <f t="shared" ref="EY16:EZ16" si="3">+SUM(EY17:EY35)</f>
        <v>3702331</v>
      </c>
      <c r="EZ16" s="178">
        <f t="shared" si="3"/>
        <v>2145668</v>
      </c>
      <c r="FA16" s="172">
        <f>+SUM(FA17:FA35)</f>
        <v>1801101</v>
      </c>
      <c r="FB16" s="179">
        <f>+SUM(FB17:FB35)</f>
        <v>1399957</v>
      </c>
      <c r="FC16" s="176"/>
      <c r="FD16" s="172">
        <f t="shared" ref="FD16:FR16" si="4">+SUM(FD17:FD35)</f>
        <v>1037000</v>
      </c>
      <c r="FE16" s="172">
        <f t="shared" si="4"/>
        <v>693750</v>
      </c>
      <c r="FF16" s="172">
        <f t="shared" si="4"/>
        <v>62050</v>
      </c>
      <c r="FG16" s="172">
        <f t="shared" si="4"/>
        <v>940380</v>
      </c>
      <c r="FH16" s="172">
        <f t="shared" si="4"/>
        <v>201170</v>
      </c>
      <c r="FI16" s="172">
        <f t="shared" si="4"/>
        <v>349280</v>
      </c>
      <c r="FJ16" s="172">
        <f t="shared" si="4"/>
        <v>63669</v>
      </c>
      <c r="FK16" s="172">
        <f t="shared" si="4"/>
        <v>6950</v>
      </c>
      <c r="FL16" s="172">
        <f t="shared" si="4"/>
        <v>282406</v>
      </c>
      <c r="FM16" s="172">
        <f t="shared" si="4"/>
        <v>1624101</v>
      </c>
      <c r="FN16" s="172">
        <f t="shared" si="4"/>
        <v>4964753</v>
      </c>
      <c r="FO16" s="172">
        <f t="shared" si="4"/>
        <v>4956083</v>
      </c>
      <c r="FP16" s="172">
        <f t="shared" si="4"/>
        <v>474000</v>
      </c>
      <c r="FQ16" s="172">
        <f t="shared" si="4"/>
        <v>282000</v>
      </c>
      <c r="FR16" s="172">
        <f t="shared" si="4"/>
        <v>40661</v>
      </c>
      <c r="FS16" s="176"/>
      <c r="FT16" s="174">
        <f>+SUM(FT17:FT35)</f>
        <v>5027544</v>
      </c>
      <c r="FU16" s="174">
        <f>+SUM(FU17:FU35)</f>
        <v>10405579</v>
      </c>
      <c r="FV16" s="174">
        <f>+SUM(FV17:FV35)</f>
        <v>14774663</v>
      </c>
      <c r="FW16" s="172"/>
      <c r="FX16" s="172"/>
      <c r="FY16" s="172"/>
      <c r="FZ16" s="172"/>
    </row>
    <row r="17" spans="1:182" ht="35.25" customHeight="1" x14ac:dyDescent="0.3">
      <c r="A17" s="181" t="s">
        <v>183</v>
      </c>
      <c r="B17" s="181" t="s">
        <v>184</v>
      </c>
      <c r="C17" s="182" t="s">
        <v>185</v>
      </c>
      <c r="D17" s="183">
        <v>32.71</v>
      </c>
      <c r="E17" s="183"/>
      <c r="F17" s="183"/>
      <c r="G17" s="183">
        <v>1.83</v>
      </c>
      <c r="H17" s="183">
        <v>0.92</v>
      </c>
      <c r="I17" s="184"/>
      <c r="J17" s="183">
        <v>0.32</v>
      </c>
      <c r="K17" s="183">
        <v>0.04</v>
      </c>
      <c r="L17" s="183">
        <v>2.29</v>
      </c>
      <c r="M17" s="185"/>
      <c r="N17" s="186"/>
      <c r="O17" s="187">
        <v>12800</v>
      </c>
      <c r="P17" s="188">
        <v>7701</v>
      </c>
      <c r="Q17" s="187">
        <v>16574.38</v>
      </c>
      <c r="R17" s="188">
        <v>12407</v>
      </c>
      <c r="S17" s="187">
        <v>10550.16</v>
      </c>
      <c r="T17" s="188">
        <v>5211</v>
      </c>
      <c r="U17" s="187">
        <v>0</v>
      </c>
      <c r="V17" s="188">
        <v>0</v>
      </c>
      <c r="W17" s="187">
        <v>0</v>
      </c>
      <c r="X17" s="188">
        <v>0</v>
      </c>
      <c r="Y17" s="189"/>
      <c r="Z17" s="190">
        <f>+AA17</f>
        <v>13082</v>
      </c>
      <c r="AA17" s="191">
        <v>13082</v>
      </c>
      <c r="AB17" s="192">
        <f t="shared" ref="AB17:AB32" si="5">+SUM(AC17:AE17)</f>
        <v>9245.9</v>
      </c>
      <c r="AC17" s="193">
        <v>8880</v>
      </c>
      <c r="AD17" s="193">
        <v>182.9</v>
      </c>
      <c r="AE17" s="193">
        <v>183</v>
      </c>
      <c r="AF17" s="194">
        <v>1000</v>
      </c>
      <c r="AG17" s="195">
        <v>1045</v>
      </c>
      <c r="AH17" s="196">
        <v>3750</v>
      </c>
      <c r="AI17" s="196">
        <v>280</v>
      </c>
      <c r="AJ17" s="196">
        <v>420</v>
      </c>
      <c r="AK17" s="197">
        <v>2013</v>
      </c>
      <c r="AL17" s="197">
        <v>174</v>
      </c>
      <c r="AM17" s="198">
        <v>174</v>
      </c>
      <c r="AN17" s="198"/>
      <c r="AO17" s="198">
        <v>1</v>
      </c>
      <c r="AP17" s="198"/>
      <c r="AQ17" s="199">
        <v>10</v>
      </c>
      <c r="AR17" s="200" t="s">
        <v>186</v>
      </c>
      <c r="AS17" s="201">
        <v>6</v>
      </c>
      <c r="AT17" s="202">
        <v>6</v>
      </c>
      <c r="AU17" s="203" t="s">
        <v>187</v>
      </c>
      <c r="AV17" s="203" t="s">
        <v>188</v>
      </c>
      <c r="AW17" s="204">
        <f t="shared" ref="AW17:AW32" si="6">+IF(LEFT(AV17,4)="шифе",4,IF(LEFT(AV17,4)="мягк",2,3))</f>
        <v>3</v>
      </c>
      <c r="AX17" s="205">
        <f t="shared" ref="AX17:AX34" si="7">+AG17</f>
        <v>1045</v>
      </c>
      <c r="AY17" s="205">
        <f>+IF(AV17="мягкая",AX17,ROUND(AX17*$AY$6,1))</f>
        <v>1567.5</v>
      </c>
      <c r="AZ17" s="205">
        <f t="shared" ref="AZ17:AZ34" si="8">IFERROR(ROUND((((Z17-AG17)/AQ17)*2+2),1),0)</f>
        <v>2409.4</v>
      </c>
      <c r="BA17" s="206"/>
      <c r="BB17" s="206"/>
      <c r="BC17" s="207"/>
      <c r="BD17" s="208" t="s">
        <v>189</v>
      </c>
      <c r="BE17" s="208" t="s">
        <v>189</v>
      </c>
      <c r="BF17" s="208" t="s">
        <v>189</v>
      </c>
      <c r="BG17" s="208" t="s">
        <v>189</v>
      </c>
      <c r="BH17" s="207" t="s">
        <v>190</v>
      </c>
      <c r="BI17" s="209" t="s">
        <v>191</v>
      </c>
      <c r="BJ17" s="209"/>
      <c r="BK17" s="181" t="s">
        <v>191</v>
      </c>
      <c r="BL17" s="181">
        <v>2</v>
      </c>
      <c r="BM17" s="201" t="s">
        <v>191</v>
      </c>
      <c r="BN17" s="181">
        <v>1</v>
      </c>
      <c r="BO17" s="181" t="s">
        <v>191</v>
      </c>
      <c r="BP17" s="181"/>
      <c r="BQ17" s="181" t="s">
        <v>192</v>
      </c>
      <c r="BR17" s="181"/>
      <c r="BS17" s="210">
        <f t="shared" ref="BS17:BS34" si="9">IF(BX17=0,0,(+AC17+AD17+AE17))</f>
        <v>9245.9</v>
      </c>
      <c r="BT17" s="211">
        <f>+BW17/$BW$16</f>
        <v>5.2059119213913443E-2</v>
      </c>
      <c r="BU17" s="211">
        <v>1.7000000000000001E-2</v>
      </c>
      <c r="BV17" s="211">
        <v>1.0938713489011232E-2</v>
      </c>
      <c r="BW17" s="211">
        <f t="shared" ref="BW17:BW34" si="10">+BS17*BX17</f>
        <v>73967.199999999997</v>
      </c>
      <c r="BX17" s="212">
        <f>+SUM(BY17:CB17)</f>
        <v>8</v>
      </c>
      <c r="BY17" s="213">
        <v>2</v>
      </c>
      <c r="BZ17" s="213">
        <v>3</v>
      </c>
      <c r="CA17" s="213">
        <v>3</v>
      </c>
      <c r="CB17" s="213"/>
      <c r="CC17" s="265"/>
      <c r="CD17" s="265"/>
      <c r="CE17" s="265"/>
      <c r="CF17" s="265"/>
      <c r="CG17" s="143"/>
      <c r="CH17" s="214">
        <f>+SUM(CI17:CO17)-CP17</f>
        <v>2505607</v>
      </c>
      <c r="CI17" s="215">
        <f t="shared" ref="CI17:CI34" si="11">+ROUND(((AC17*D17)*(BY17+BZ17+CA17+CB17)),0)</f>
        <v>2323718</v>
      </c>
      <c r="CJ17" s="215">
        <f t="shared" ref="CJ17:CJ34" si="12">+ROUND(((AD17*D17)*(BY17+BZ17+CA17+CB17)),0)</f>
        <v>47861</v>
      </c>
      <c r="CK17" s="215">
        <f t="shared" ref="CK17:CK34" si="13">+ROUND(((AE17*F17)*(BY17+BZ17+CA17+CB17)),0)</f>
        <v>0</v>
      </c>
      <c r="CL17" s="215">
        <f t="shared" ref="CL17:CL34" si="14">+ROUND(((AC17*G17)*(BY17+BZ17+CA17+CB17)),0)</f>
        <v>130003</v>
      </c>
      <c r="CM17" s="215">
        <f t="shared" ref="CM17:CM34" si="15">+ROUND(((AD17*G17)*(BY17+BZ17+CA17+CB17)),0)</f>
        <v>2678</v>
      </c>
      <c r="CN17" s="215">
        <f t="shared" ref="CN17:CN34" si="16">+ROUND(((AE17*H17)*(BY17+BZ17+CA17+CB17)),0)</f>
        <v>1347</v>
      </c>
      <c r="CO17" s="215"/>
      <c r="CP17" s="216">
        <f>IFERROR(ROUND((M17)*(AC17),0)*BX17,0)</f>
        <v>0</v>
      </c>
      <c r="CQ17" s="214">
        <f>+SUM(CR17:CT17)</f>
        <v>2550924.1379999998</v>
      </c>
      <c r="CR17" s="217">
        <v>2446965.69</v>
      </c>
      <c r="CS17" s="217">
        <v>50538.928</v>
      </c>
      <c r="CT17" s="217">
        <v>53419.519999999997</v>
      </c>
      <c r="CU17" s="214">
        <f>+SUM(CV17:CX17)</f>
        <v>2066951.2900000005</v>
      </c>
      <c r="CV17" s="218">
        <v>2011697.9100000006</v>
      </c>
      <c r="CW17" s="218">
        <v>23180.44</v>
      </c>
      <c r="CX17" s="218">
        <v>32072.94</v>
      </c>
      <c r="CY17" s="219">
        <f>+CK17+CN17</f>
        <v>1347</v>
      </c>
      <c r="CZ17" s="219">
        <f>+CY17-CT17</f>
        <v>-52072.52</v>
      </c>
      <c r="DA17" s="215">
        <f>+ROUND(J17*($AC17+$AD17),2)*$BX17</f>
        <v>23201.040000000001</v>
      </c>
      <c r="DB17" s="215">
        <f>+ROUND(K17*($AC17+$AD17),2)*$BX17</f>
        <v>2900.16</v>
      </c>
      <c r="DC17" s="215">
        <f>+ROUND(L17*($AC17+$AD17),2)*$BX17</f>
        <v>166032.32000000001</v>
      </c>
      <c r="DD17" s="217">
        <v>29250.59</v>
      </c>
      <c r="DE17" s="217">
        <v>91.74</v>
      </c>
      <c r="DF17" s="217">
        <v>506641.88</v>
      </c>
      <c r="DG17" s="217">
        <v>12886.72</v>
      </c>
      <c r="DH17" s="218">
        <v>23675.9</v>
      </c>
      <c r="DI17" s="218">
        <v>62.78</v>
      </c>
      <c r="DJ17" s="218">
        <v>432481.74</v>
      </c>
      <c r="DK17" s="218">
        <v>10463.08</v>
      </c>
      <c r="DL17" s="215">
        <f t="shared" ref="DL17:DL34" si="17">+O17+Q17+S17+U17+W17</f>
        <v>39924.54</v>
      </c>
      <c r="DM17" s="218">
        <f t="shared" ref="DM17:DM34" si="18">+P17+R17+T17+V17+X17</f>
        <v>25319</v>
      </c>
      <c r="DN17" s="220">
        <v>665622.31999999995</v>
      </c>
      <c r="DO17" s="220">
        <v>650544.5</v>
      </c>
      <c r="DP17" s="220">
        <v>532683.37</v>
      </c>
      <c r="DQ17" s="220">
        <v>444240.97</v>
      </c>
      <c r="DR17" s="220">
        <v>364243.93</v>
      </c>
      <c r="DS17" s="220">
        <v>0</v>
      </c>
      <c r="DT17" s="220">
        <v>0</v>
      </c>
      <c r="DU17" s="220">
        <v>329077.96999999997</v>
      </c>
      <c r="DV17" s="220">
        <v>270058.55</v>
      </c>
      <c r="DW17" s="220">
        <v>2371028.4900000002</v>
      </c>
      <c r="DX17" s="220">
        <v>2024238.56</v>
      </c>
      <c r="DY17" s="214">
        <f t="shared" ref="DY17:DY34" si="19">+EA17+SUM(EV17:FV17)</f>
        <v>3655410.6680000001</v>
      </c>
      <c r="DZ17" s="221">
        <f t="shared" ref="DZ17:DZ34" si="20">+IF(CI17=0,0,ROUND(SUM(CH17)*$DZ$6,0))</f>
        <v>300673</v>
      </c>
      <c r="EA17" s="222">
        <f>+SUM(ED17:EH17,ES17:ET17)</f>
        <v>815018.9</v>
      </c>
      <c r="EB17" s="223">
        <f>IFERROR((EA17/CH17),"")</f>
        <v>0.32527802644229525</v>
      </c>
      <c r="EC17" s="224">
        <f>+CH17-DY17</f>
        <v>-1149803.6680000001</v>
      </c>
      <c r="ED17" s="225">
        <f>+ED6-SUM(ED18:ED34)</f>
        <v>35140</v>
      </c>
      <c r="EE17" s="225">
        <f>+EE6-SUM(EE18:EE34)</f>
        <v>22178</v>
      </c>
      <c r="EF17" s="225">
        <f>+EF6-SUM(EF18:EF34)</f>
        <v>4687</v>
      </c>
      <c r="EG17" s="225">
        <f>+ROUND(EG$6*$BT17,0)</f>
        <v>422</v>
      </c>
      <c r="EH17" s="225">
        <v>2317</v>
      </c>
      <c r="EI17" s="226"/>
      <c r="EJ17" s="227">
        <v>19929</v>
      </c>
      <c r="EK17" s="227">
        <v>12628</v>
      </c>
      <c r="EL17" s="227">
        <v>16751</v>
      </c>
      <c r="EM17" s="227">
        <v>6566</v>
      </c>
      <c r="EN17" s="227">
        <v>4103</v>
      </c>
      <c r="EO17" s="227">
        <v>3157</v>
      </c>
      <c r="EP17" s="227">
        <v>5166</v>
      </c>
      <c r="EQ17" s="227">
        <v>3731</v>
      </c>
      <c r="ER17" s="227">
        <v>0</v>
      </c>
      <c r="ES17" s="225">
        <f t="shared" ref="ES17:ES34" si="21">+SUM(EJ17:ER17)*BX17</f>
        <v>576248</v>
      </c>
      <c r="ET17" s="225">
        <f t="shared" ref="ET17:ET32" si="22">+ROUND(ES17*0.302,2)</f>
        <v>174026.9</v>
      </c>
      <c r="EU17" s="226"/>
      <c r="EV17" s="228">
        <f t="shared" ref="EV17:EV34" si="23">(+$EV$5*(AC17+AD17))*BX17</f>
        <v>17400.768</v>
      </c>
      <c r="EW17" s="229">
        <f t="shared" ref="EW17:EW34" si="24">ROUND($EW$6*$BX17*($AC17+$AE17),0)</f>
        <v>97155</v>
      </c>
      <c r="EX17" s="229">
        <f>ROUND(+EX$6*$BX17*($AC17+$AE17),0)</f>
        <v>27552</v>
      </c>
      <c r="EY17" s="229">
        <f t="shared" ref="EY17:EZ17" si="25">ROUND(+EY$6*$BX17*($AC17+$AE17),0)</f>
        <v>191411</v>
      </c>
      <c r="EZ17" s="229">
        <f t="shared" si="25"/>
        <v>110931</v>
      </c>
      <c r="FA17" s="230">
        <f t="shared" ref="FA17:FA34" si="26">+ROUND($FA$6*(CH17+DD17+DE17+DF17+DG17+DO17),0)</f>
        <v>111151</v>
      </c>
      <c r="FB17" s="231">
        <f t="shared" ref="FB17:FB34" si="27">+ROUND($FB$2*BV17,0)</f>
        <v>67516</v>
      </c>
      <c r="FC17" s="226"/>
      <c r="FD17" s="232">
        <f>+ROUND(FD$6*$AS17*$BX17,0)</f>
        <v>48000</v>
      </c>
      <c r="FE17" s="230">
        <f t="shared" ref="FE17:FE34" si="28">+$FE$6*AM17</f>
        <v>26100</v>
      </c>
      <c r="FF17" s="225">
        <v>5400</v>
      </c>
      <c r="FG17" s="225">
        <f t="shared" ref="FG17:FG34" si="29">ROUND(IF(BO17="Нет",0,$FG$6*AM17),0)*BX17</f>
        <v>41760</v>
      </c>
      <c r="FH17" s="233">
        <v>3943</v>
      </c>
      <c r="FI17" s="233">
        <f>+AS17*AQ17*BX17*40</f>
        <v>19200</v>
      </c>
      <c r="FJ17" s="233">
        <f t="shared" ref="FJ17:FJ34" si="30">+ROUND(+IF($BI17="Нет",0,(FJ$6*BX17*(AQ17*AS17)))/12*BX17,0)</f>
        <v>24000</v>
      </c>
      <c r="FK17" s="233">
        <f t="shared" ref="FK17:FK34" si="31">+ROUND(+IF($BI17="Нет",0,(FK$6*FK$4*AS17))/12*BX17,0)</f>
        <v>2400</v>
      </c>
      <c r="FL17" s="225">
        <f t="shared" ref="FL17:FL34" si="32">+ROUND(AA17,0)</f>
        <v>13082</v>
      </c>
      <c r="FM17" s="225">
        <v>76482</v>
      </c>
      <c r="FN17" s="225">
        <v>222302</v>
      </c>
      <c r="FO17" s="225">
        <f>+FN17</f>
        <v>222302</v>
      </c>
      <c r="FP17" s="232">
        <f t="shared" ref="FP17:FP34" si="33">+AT17*$FP$5/12*12</f>
        <v>18000</v>
      </c>
      <c r="FQ17" s="232">
        <v>18000</v>
      </c>
      <c r="FR17" s="232">
        <v>1685</v>
      </c>
      <c r="FS17" s="234"/>
      <c r="FT17" s="235">
        <v>233331</v>
      </c>
      <c r="FU17" s="235">
        <v>441760</v>
      </c>
      <c r="FV17" s="235">
        <v>799528</v>
      </c>
      <c r="FW17" s="232">
        <v>31</v>
      </c>
      <c r="FX17" s="232">
        <v>13</v>
      </c>
      <c r="FY17" s="232">
        <v>263154.34999999998</v>
      </c>
      <c r="FZ17" s="232"/>
    </row>
    <row r="18" spans="1:182" ht="35.25" customHeight="1" x14ac:dyDescent="0.3">
      <c r="A18" s="181" t="s">
        <v>183</v>
      </c>
      <c r="B18" s="181" t="s">
        <v>184</v>
      </c>
      <c r="C18" s="182" t="s">
        <v>193</v>
      </c>
      <c r="D18" s="183">
        <v>32.71</v>
      </c>
      <c r="E18" s="183"/>
      <c r="F18" s="183">
        <v>22.4</v>
      </c>
      <c r="G18" s="183">
        <v>1.83</v>
      </c>
      <c r="H18" s="183">
        <v>0.92</v>
      </c>
      <c r="I18" s="184"/>
      <c r="J18" s="183">
        <v>0.32</v>
      </c>
      <c r="K18" s="183">
        <v>0.04</v>
      </c>
      <c r="L18" s="183">
        <v>2.29</v>
      </c>
      <c r="M18" s="185"/>
      <c r="N18" s="186"/>
      <c r="O18" s="187">
        <v>12800</v>
      </c>
      <c r="P18" s="188">
        <v>7701</v>
      </c>
      <c r="Q18" s="187">
        <v>6219.9700000000012</v>
      </c>
      <c r="R18" s="188">
        <v>4656</v>
      </c>
      <c r="S18" s="187">
        <v>3554.9199999999996</v>
      </c>
      <c r="T18" s="188">
        <v>1756</v>
      </c>
      <c r="U18" s="187">
        <v>0</v>
      </c>
      <c r="V18" s="188">
        <v>0</v>
      </c>
      <c r="W18" s="187">
        <v>0</v>
      </c>
      <c r="X18" s="188">
        <v>0</v>
      </c>
      <c r="Y18" s="189"/>
      <c r="Z18" s="190">
        <f>+AA18</f>
        <v>4133.7</v>
      </c>
      <c r="AA18" s="191">
        <v>4133.7</v>
      </c>
      <c r="AB18" s="192">
        <f t="shared" si="5"/>
        <v>2937.8</v>
      </c>
      <c r="AC18" s="193">
        <v>2734.9</v>
      </c>
      <c r="AD18" s="193"/>
      <c r="AE18" s="193">
        <v>202.9</v>
      </c>
      <c r="AF18" s="194">
        <v>600</v>
      </c>
      <c r="AG18" s="195">
        <v>391</v>
      </c>
      <c r="AH18" s="196">
        <v>645</v>
      </c>
      <c r="AI18" s="196">
        <v>0</v>
      </c>
      <c r="AJ18" s="196">
        <v>713</v>
      </c>
      <c r="AK18" s="197">
        <v>2013</v>
      </c>
      <c r="AL18" s="197">
        <v>57</v>
      </c>
      <c r="AM18" s="198">
        <v>57</v>
      </c>
      <c r="AN18" s="198"/>
      <c r="AO18" s="198">
        <v>50</v>
      </c>
      <c r="AP18" s="198"/>
      <c r="AQ18" s="199">
        <v>7</v>
      </c>
      <c r="AR18" s="200">
        <v>7</v>
      </c>
      <c r="AS18" s="201">
        <v>3</v>
      </c>
      <c r="AT18" s="202">
        <v>3</v>
      </c>
      <c r="AU18" s="203" t="s">
        <v>187</v>
      </c>
      <c r="AV18" s="203" t="s">
        <v>188</v>
      </c>
      <c r="AW18" s="204">
        <f t="shared" si="6"/>
        <v>3</v>
      </c>
      <c r="AX18" s="205">
        <f t="shared" si="7"/>
        <v>391</v>
      </c>
      <c r="AY18" s="205">
        <f>+IF(AV18="мягкая",AX18,ROUND(AX18*$AY$6,1))</f>
        <v>586.5</v>
      </c>
      <c r="AZ18" s="205">
        <f t="shared" si="8"/>
        <v>1071.3</v>
      </c>
      <c r="BA18" s="206"/>
      <c r="BB18" s="206"/>
      <c r="BC18" s="207"/>
      <c r="BD18" s="208" t="s">
        <v>189</v>
      </c>
      <c r="BE18" s="208" t="s">
        <v>189</v>
      </c>
      <c r="BF18" s="208" t="s">
        <v>189</v>
      </c>
      <c r="BG18" s="208" t="s">
        <v>189</v>
      </c>
      <c r="BH18" s="207" t="s">
        <v>190</v>
      </c>
      <c r="BI18" s="209" t="s">
        <v>191</v>
      </c>
      <c r="BJ18" s="209"/>
      <c r="BK18" s="181" t="s">
        <v>191</v>
      </c>
      <c r="BL18" s="181">
        <v>1</v>
      </c>
      <c r="BM18" s="201" t="s">
        <v>191</v>
      </c>
      <c r="BN18" s="181">
        <v>1</v>
      </c>
      <c r="BO18" s="181" t="s">
        <v>191</v>
      </c>
      <c r="BP18" s="181"/>
      <c r="BQ18" s="181" t="s">
        <v>192</v>
      </c>
      <c r="BR18" s="181"/>
      <c r="BS18" s="210">
        <f t="shared" si="9"/>
        <v>2937.8</v>
      </c>
      <c r="BT18" s="211">
        <f t="shared" ref="BT18:BT34" si="34">+BW18/$BW$16</f>
        <v>1.6541308085382161E-2</v>
      </c>
      <c r="BU18" s="211">
        <v>5.0000000000000001E-3</v>
      </c>
      <c r="BV18" s="211">
        <v>3.5458184362812755E-3</v>
      </c>
      <c r="BW18" s="211">
        <f t="shared" si="10"/>
        <v>23502.400000000001</v>
      </c>
      <c r="BX18" s="212">
        <f t="shared" ref="BX18:BX32" si="35">+SUM(BY18:CB18)</f>
        <v>8</v>
      </c>
      <c r="BY18" s="213">
        <v>2</v>
      </c>
      <c r="BZ18" s="213">
        <v>3</v>
      </c>
      <c r="CA18" s="213">
        <v>3</v>
      </c>
      <c r="CB18" s="213"/>
      <c r="CC18" s="265"/>
      <c r="CD18" s="265"/>
      <c r="CE18" s="265"/>
      <c r="CF18" s="265"/>
      <c r="CG18" s="143"/>
      <c r="CH18" s="214">
        <f t="shared" ref="CH18:CH32" si="36">+SUM(CI18:CO18)-CP18</f>
        <v>793561</v>
      </c>
      <c r="CI18" s="215">
        <f t="shared" si="11"/>
        <v>715669</v>
      </c>
      <c r="CJ18" s="215">
        <f t="shared" si="12"/>
        <v>0</v>
      </c>
      <c r="CK18" s="215">
        <f t="shared" si="13"/>
        <v>36360</v>
      </c>
      <c r="CL18" s="215">
        <f t="shared" si="14"/>
        <v>40039</v>
      </c>
      <c r="CM18" s="215">
        <f t="shared" si="15"/>
        <v>0</v>
      </c>
      <c r="CN18" s="215">
        <f t="shared" si="16"/>
        <v>1493</v>
      </c>
      <c r="CO18" s="215"/>
      <c r="CP18" s="216">
        <f t="shared" ref="CP18:CP34" si="37">IFERROR(ROUND((M18)*(AC18),0)*BX18,0)</f>
        <v>0</v>
      </c>
      <c r="CQ18" s="214">
        <f t="shared" ref="CQ18:CQ34" si="38">+SUM(CR18:CT18)</f>
        <v>774634.72000000009</v>
      </c>
      <c r="CR18" s="217">
        <v>738382.56</v>
      </c>
      <c r="CS18" s="217">
        <v>0</v>
      </c>
      <c r="CT18" s="217">
        <v>36252.160000000003</v>
      </c>
      <c r="CU18" s="214">
        <f t="shared" ref="CU18:CU34" si="39">+SUM(CV18:CX18)</f>
        <v>614004.93000000005</v>
      </c>
      <c r="CV18" s="218">
        <v>604244.58000000007</v>
      </c>
      <c r="CW18" s="218">
        <v>0</v>
      </c>
      <c r="CX18" s="218">
        <v>9760.35</v>
      </c>
      <c r="CY18" s="219">
        <f t="shared" ref="CY18:CY34" si="40">+CK18+CN18</f>
        <v>37853</v>
      </c>
      <c r="CZ18" s="219">
        <f t="shared" ref="CZ18:CZ34" si="41">+CY18-CT18</f>
        <v>1600.8399999999965</v>
      </c>
      <c r="DA18" s="215">
        <f t="shared" ref="DA18:DA34" si="42">+ROUND(J18*(AC18+AD18),2)*BX18</f>
        <v>7001.36</v>
      </c>
      <c r="DB18" s="215">
        <f t="shared" ref="DB18:DB34" si="43">+ROUND(K18*(AD18+AE18),2)*BY18</f>
        <v>16.239999999999998</v>
      </c>
      <c r="DC18" s="215">
        <f t="shared" ref="DC18:DC34" si="44">+ROUND(L18*(AE18+AF18),2)*BZ18</f>
        <v>5515.92</v>
      </c>
      <c r="DD18" s="217">
        <v>13358.22</v>
      </c>
      <c r="DE18" s="217">
        <v>0</v>
      </c>
      <c r="DF18" s="217">
        <v>120429.22</v>
      </c>
      <c r="DG18" s="217">
        <v>5889.62</v>
      </c>
      <c r="DH18" s="218">
        <v>10361.530000000001</v>
      </c>
      <c r="DI18" s="218">
        <v>0</v>
      </c>
      <c r="DJ18" s="218">
        <v>101091.66</v>
      </c>
      <c r="DK18" s="218">
        <v>4583.1099999999997</v>
      </c>
      <c r="DL18" s="215">
        <f t="shared" si="17"/>
        <v>22574.89</v>
      </c>
      <c r="DM18" s="218">
        <f t="shared" si="18"/>
        <v>14113</v>
      </c>
      <c r="DN18" s="220">
        <v>205008.08</v>
      </c>
      <c r="DO18" s="220">
        <v>195641.05</v>
      </c>
      <c r="DP18" s="220">
        <v>159360.32999999999</v>
      </c>
      <c r="DQ18" s="220">
        <v>149134.74</v>
      </c>
      <c r="DR18" s="220">
        <v>123976.76</v>
      </c>
      <c r="DS18" s="220">
        <v>0</v>
      </c>
      <c r="DT18" s="220">
        <v>0</v>
      </c>
      <c r="DU18" s="220">
        <v>110925.14</v>
      </c>
      <c r="DV18" s="220">
        <v>92080.85</v>
      </c>
      <c r="DW18" s="220">
        <v>839807.33</v>
      </c>
      <c r="DX18" s="220">
        <v>708065.74</v>
      </c>
      <c r="DY18" s="214">
        <f t="shared" si="19"/>
        <v>1510638.6979999999</v>
      </c>
      <c r="DZ18" s="221">
        <f t="shared" si="20"/>
        <v>95227</v>
      </c>
      <c r="EA18" s="222">
        <f t="shared" ref="EA18:EA34" si="45">+SUM(ED18:EH18,ES18:ET18)</f>
        <v>257212.69</v>
      </c>
      <c r="EB18" s="223">
        <f t="shared" ref="EB18:EB34" si="46">IFERROR((EA18/CH18),"")</f>
        <v>0.32412466086413017</v>
      </c>
      <c r="EC18" s="224">
        <f t="shared" ref="EC18:EC34" si="47">+CH18-DY18</f>
        <v>-717077.69799999986</v>
      </c>
      <c r="ED18" s="225">
        <f>ROUND(ED$6*$BT18,0)</f>
        <v>11165</v>
      </c>
      <c r="EE18" s="225">
        <f t="shared" ref="EE18:EF18" si="48">ROUND(EE$6*$BT18,0)</f>
        <v>7047</v>
      </c>
      <c r="EF18" s="225">
        <f t="shared" si="48"/>
        <v>1489</v>
      </c>
      <c r="EG18" s="225">
        <f t="shared" ref="EG18:EG34" si="49">+ROUND(EG$6*$BT18,0)</f>
        <v>134</v>
      </c>
      <c r="EH18" s="225">
        <v>747</v>
      </c>
      <c r="EI18" s="226"/>
      <c r="EJ18" s="227">
        <v>6285</v>
      </c>
      <c r="EK18" s="227">
        <v>3982</v>
      </c>
      <c r="EL18" s="227">
        <v>5282</v>
      </c>
      <c r="EM18" s="227">
        <v>2072</v>
      </c>
      <c r="EN18" s="227">
        <v>1295</v>
      </c>
      <c r="EO18" s="227">
        <v>996</v>
      </c>
      <c r="EP18" s="227">
        <v>1629</v>
      </c>
      <c r="EQ18" s="227">
        <v>1177</v>
      </c>
      <c r="ER18" s="227">
        <v>0</v>
      </c>
      <c r="ES18" s="225">
        <f t="shared" si="21"/>
        <v>181744</v>
      </c>
      <c r="ET18" s="225">
        <f t="shared" si="22"/>
        <v>54886.69</v>
      </c>
      <c r="EU18" s="226"/>
      <c r="EV18" s="228">
        <f t="shared" si="23"/>
        <v>5251.0079999999998</v>
      </c>
      <c r="EW18" s="229">
        <f t="shared" si="24"/>
        <v>31493</v>
      </c>
      <c r="EX18" s="229">
        <f t="shared" ref="EX18:EZ34" si="50">ROUND(+EX$6*$BX18*($AC18+$AE18),0)</f>
        <v>8931</v>
      </c>
      <c r="EY18" s="229">
        <f t="shared" si="50"/>
        <v>62046</v>
      </c>
      <c r="EZ18" s="229">
        <f t="shared" si="50"/>
        <v>35959</v>
      </c>
      <c r="FA18" s="230">
        <f t="shared" si="26"/>
        <v>33866</v>
      </c>
      <c r="FB18" s="231">
        <f t="shared" si="27"/>
        <v>21886</v>
      </c>
      <c r="FC18" s="226"/>
      <c r="FD18" s="232">
        <f t="shared" ref="FD18:FD34" si="51">+ROUND(FD$6*$AS18*$BX18,0)</f>
        <v>24000</v>
      </c>
      <c r="FE18" s="230">
        <f t="shared" si="28"/>
        <v>8550</v>
      </c>
      <c r="FF18" s="225">
        <v>2700</v>
      </c>
      <c r="FG18" s="225">
        <f t="shared" si="29"/>
        <v>13680</v>
      </c>
      <c r="FH18" s="233">
        <v>4797</v>
      </c>
      <c r="FI18" s="233">
        <f t="shared" ref="FI18:FI21" si="52">+AS18*AQ18*BX18*40</f>
        <v>6720</v>
      </c>
      <c r="FJ18" s="233">
        <f t="shared" si="30"/>
        <v>8400</v>
      </c>
      <c r="FK18" s="233">
        <f t="shared" si="31"/>
        <v>1200</v>
      </c>
      <c r="FL18" s="225">
        <f t="shared" si="32"/>
        <v>4134</v>
      </c>
      <c r="FM18" s="225">
        <v>76482</v>
      </c>
      <c r="FN18" s="225">
        <v>111151</v>
      </c>
      <c r="FO18" s="225">
        <f t="shared" ref="FO18:FO34" si="53">+FN18</f>
        <v>111151</v>
      </c>
      <c r="FP18" s="232">
        <f t="shared" si="33"/>
        <v>9000</v>
      </c>
      <c r="FQ18" s="232">
        <v>9000</v>
      </c>
      <c r="FR18" s="232">
        <v>842</v>
      </c>
      <c r="FS18" s="234"/>
      <c r="FT18" s="235">
        <v>93971</v>
      </c>
      <c r="FU18" s="235">
        <v>207488</v>
      </c>
      <c r="FV18" s="235">
        <v>360728</v>
      </c>
      <c r="FW18" s="232">
        <v>9</v>
      </c>
      <c r="FX18" s="232">
        <v>4</v>
      </c>
      <c r="FY18" s="232">
        <v>70583.25</v>
      </c>
      <c r="FZ18" s="232"/>
    </row>
    <row r="19" spans="1:182" ht="35.25" customHeight="1" x14ac:dyDescent="0.3">
      <c r="A19" s="181" t="s">
        <v>194</v>
      </c>
      <c r="B19" s="181" t="s">
        <v>184</v>
      </c>
      <c r="C19" s="182" t="s">
        <v>195</v>
      </c>
      <c r="D19" s="183">
        <v>32.71</v>
      </c>
      <c r="E19" s="183"/>
      <c r="F19" s="183">
        <v>22.4</v>
      </c>
      <c r="G19" s="183">
        <v>1.83</v>
      </c>
      <c r="H19" s="183">
        <v>0.92</v>
      </c>
      <c r="I19" s="184"/>
      <c r="J19" s="183">
        <v>0.32</v>
      </c>
      <c r="K19" s="183">
        <v>0.04</v>
      </c>
      <c r="L19" s="183">
        <v>2.29</v>
      </c>
      <c r="M19" s="185"/>
      <c r="N19" s="186"/>
      <c r="O19" s="187">
        <v>14400</v>
      </c>
      <c r="P19" s="188">
        <v>8663</v>
      </c>
      <c r="Q19" s="187">
        <v>11895.630000000001</v>
      </c>
      <c r="R19" s="188">
        <v>8905</v>
      </c>
      <c r="S19" s="187">
        <v>8949.09</v>
      </c>
      <c r="T19" s="188">
        <v>4420</v>
      </c>
      <c r="U19" s="187">
        <v>0</v>
      </c>
      <c r="V19" s="188">
        <v>0</v>
      </c>
      <c r="W19" s="187">
        <v>0</v>
      </c>
      <c r="X19" s="188">
        <v>0</v>
      </c>
      <c r="Y19" s="189">
        <v>34929</v>
      </c>
      <c r="Z19" s="190">
        <v>8977</v>
      </c>
      <c r="AA19" s="191">
        <v>9108.7000000000007</v>
      </c>
      <c r="AB19" s="192">
        <f t="shared" si="5"/>
        <v>6860.5</v>
      </c>
      <c r="AC19" s="193">
        <v>5820.2</v>
      </c>
      <c r="AD19" s="193">
        <v>796.2</v>
      </c>
      <c r="AE19" s="193">
        <v>244.1</v>
      </c>
      <c r="AF19" s="194">
        <v>529</v>
      </c>
      <c r="AG19" s="195">
        <v>1000</v>
      </c>
      <c r="AH19" s="196">
        <v>544</v>
      </c>
      <c r="AI19" s="196">
        <v>0</v>
      </c>
      <c r="AJ19" s="196">
        <v>1580</v>
      </c>
      <c r="AK19" s="197">
        <v>2014</v>
      </c>
      <c r="AL19" s="197">
        <v>112</v>
      </c>
      <c r="AM19" s="198">
        <v>112</v>
      </c>
      <c r="AN19" s="198"/>
      <c r="AO19" s="198">
        <v>0</v>
      </c>
      <c r="AP19" s="198"/>
      <c r="AQ19" s="236">
        <v>9</v>
      </c>
      <c r="AR19" s="237" t="s">
        <v>196</v>
      </c>
      <c r="AS19" s="237">
        <v>3</v>
      </c>
      <c r="AT19" s="202">
        <v>3</v>
      </c>
      <c r="AU19" s="203" t="s">
        <v>187</v>
      </c>
      <c r="AV19" s="203" t="s">
        <v>188</v>
      </c>
      <c r="AW19" s="204">
        <f t="shared" si="6"/>
        <v>3</v>
      </c>
      <c r="AX19" s="205">
        <f t="shared" si="7"/>
        <v>1000</v>
      </c>
      <c r="AY19" s="205">
        <f t="shared" ref="AY19" si="54">+IF(AV19="мягкая",AX19,ROUND(AX19*$AY$3,1))</f>
        <v>0</v>
      </c>
      <c r="AZ19" s="205">
        <f t="shared" si="8"/>
        <v>1774.7</v>
      </c>
      <c r="BA19" s="206"/>
      <c r="BB19" s="206"/>
      <c r="BC19" s="207"/>
      <c r="BD19" s="208" t="s">
        <v>189</v>
      </c>
      <c r="BE19" s="208" t="s">
        <v>189</v>
      </c>
      <c r="BF19" s="208" t="s">
        <v>189</v>
      </c>
      <c r="BG19" s="208" t="s">
        <v>189</v>
      </c>
      <c r="BH19" s="207" t="s">
        <v>190</v>
      </c>
      <c r="BI19" s="209" t="s">
        <v>191</v>
      </c>
      <c r="BJ19" s="209"/>
      <c r="BK19" s="181" t="s">
        <v>191</v>
      </c>
      <c r="BL19" s="181">
        <v>1</v>
      </c>
      <c r="BM19" s="201" t="s">
        <v>191</v>
      </c>
      <c r="BN19" s="181">
        <v>1</v>
      </c>
      <c r="BO19" s="181" t="s">
        <v>191</v>
      </c>
      <c r="BP19" s="181"/>
      <c r="BQ19" s="181" t="s">
        <v>192</v>
      </c>
      <c r="BR19" s="181"/>
      <c r="BS19" s="210">
        <f t="shared" si="9"/>
        <v>6860.5</v>
      </c>
      <c r="BT19" s="211">
        <f t="shared" si="34"/>
        <v>4.3456617072208742E-2</v>
      </c>
      <c r="BU19" s="211">
        <v>1.2999999999999999E-2</v>
      </c>
      <c r="BV19" s="211">
        <v>9.0131233422200471E-3</v>
      </c>
      <c r="BW19" s="211">
        <f t="shared" si="10"/>
        <v>61744.5</v>
      </c>
      <c r="BX19" s="212">
        <f t="shared" si="35"/>
        <v>9</v>
      </c>
      <c r="BY19" s="213">
        <v>3</v>
      </c>
      <c r="BZ19" s="213">
        <v>3</v>
      </c>
      <c r="CA19" s="213">
        <v>3</v>
      </c>
      <c r="CB19" s="213"/>
      <c r="CC19" s="265"/>
      <c r="CD19" s="265"/>
      <c r="CE19" s="265"/>
      <c r="CF19" s="265"/>
      <c r="CG19" s="143"/>
      <c r="CH19" s="214">
        <f t="shared" si="36"/>
        <v>2108006</v>
      </c>
      <c r="CI19" s="215">
        <f t="shared" si="11"/>
        <v>1713409</v>
      </c>
      <c r="CJ19" s="215">
        <f t="shared" si="12"/>
        <v>234393</v>
      </c>
      <c r="CK19" s="215">
        <f t="shared" si="13"/>
        <v>49211</v>
      </c>
      <c r="CL19" s="215">
        <f t="shared" si="14"/>
        <v>95859</v>
      </c>
      <c r="CM19" s="215">
        <f t="shared" si="15"/>
        <v>13113</v>
      </c>
      <c r="CN19" s="215">
        <f t="shared" si="16"/>
        <v>2021</v>
      </c>
      <c r="CO19" s="215"/>
      <c r="CP19" s="216">
        <f t="shared" si="37"/>
        <v>0</v>
      </c>
      <c r="CQ19" s="214">
        <f t="shared" si="38"/>
        <v>2101148.8020000001</v>
      </c>
      <c r="CR19" s="217">
        <v>1807495.83</v>
      </c>
      <c r="CS19" s="217">
        <v>247506.73200000002</v>
      </c>
      <c r="CT19" s="217">
        <v>46146.239999999998</v>
      </c>
      <c r="CU19" s="214">
        <f t="shared" si="39"/>
        <v>1718010.6799999997</v>
      </c>
      <c r="CV19" s="218">
        <v>1593803.9799999997</v>
      </c>
      <c r="CW19" s="218">
        <v>105920.40000000001</v>
      </c>
      <c r="CX19" s="218">
        <v>18286.3</v>
      </c>
      <c r="CY19" s="219">
        <f t="shared" si="40"/>
        <v>51232</v>
      </c>
      <c r="CZ19" s="219">
        <f t="shared" si="41"/>
        <v>5085.760000000002</v>
      </c>
      <c r="DA19" s="215">
        <f t="shared" si="42"/>
        <v>19055.25</v>
      </c>
      <c r="DB19" s="215">
        <f t="shared" si="43"/>
        <v>124.83</v>
      </c>
      <c r="DC19" s="215">
        <f t="shared" si="44"/>
        <v>5311.2000000000007</v>
      </c>
      <c r="DD19" s="217">
        <v>13473.63</v>
      </c>
      <c r="DE19" s="217">
        <v>252.75</v>
      </c>
      <c r="DF19" s="217">
        <v>311696.53999999998</v>
      </c>
      <c r="DG19" s="217">
        <v>5952.9</v>
      </c>
      <c r="DH19" s="218">
        <v>11159.85</v>
      </c>
      <c r="DI19" s="218">
        <v>144</v>
      </c>
      <c r="DJ19" s="218">
        <v>281667.17</v>
      </c>
      <c r="DK19" s="218">
        <v>4942.8599999999997</v>
      </c>
      <c r="DL19" s="215">
        <f t="shared" si="17"/>
        <v>35244.720000000001</v>
      </c>
      <c r="DM19" s="218">
        <f t="shared" si="18"/>
        <v>21988</v>
      </c>
      <c r="DN19" s="220">
        <v>490817.43</v>
      </c>
      <c r="DO19" s="220">
        <v>478150.89</v>
      </c>
      <c r="DP19" s="220">
        <v>421360.57</v>
      </c>
      <c r="DQ19" s="220">
        <v>333916.86</v>
      </c>
      <c r="DR19" s="220">
        <v>285544.62</v>
      </c>
      <c r="DS19" s="220">
        <v>0</v>
      </c>
      <c r="DT19" s="220">
        <v>0</v>
      </c>
      <c r="DU19" s="220">
        <v>245475.89</v>
      </c>
      <c r="DV19" s="220">
        <v>209829.31</v>
      </c>
      <c r="DW19" s="220">
        <v>1829234.79</v>
      </c>
      <c r="DX19" s="220">
        <v>1586626.72</v>
      </c>
      <c r="DY19" s="214">
        <f t="shared" si="19"/>
        <v>2631805.6239999998</v>
      </c>
      <c r="DZ19" s="221">
        <f t="shared" si="20"/>
        <v>252961</v>
      </c>
      <c r="EA19" s="222">
        <f t="shared" si="45"/>
        <v>687752</v>
      </c>
      <c r="EB19" s="223">
        <f t="shared" si="46"/>
        <v>0.32625713589050503</v>
      </c>
      <c r="EC19" s="224">
        <f t="shared" si="47"/>
        <v>-523799.62399999984</v>
      </c>
      <c r="ED19" s="225">
        <f t="shared" ref="ED19:EF34" si="55">ROUND(ED$6*$BT19,0)</f>
        <v>29333</v>
      </c>
      <c r="EE19" s="225">
        <f t="shared" si="55"/>
        <v>18513</v>
      </c>
      <c r="EF19" s="225">
        <f t="shared" si="55"/>
        <v>3911</v>
      </c>
      <c r="EG19" s="225">
        <f t="shared" si="49"/>
        <v>352</v>
      </c>
      <c r="EH19" s="225">
        <v>3328</v>
      </c>
      <c r="EI19" s="226"/>
      <c r="EJ19" s="227">
        <v>14929</v>
      </c>
      <c r="EK19" s="227">
        <v>9460</v>
      </c>
      <c r="EL19" s="227">
        <v>12549</v>
      </c>
      <c r="EM19" s="227">
        <v>4919</v>
      </c>
      <c r="EN19" s="227">
        <v>3074</v>
      </c>
      <c r="EO19" s="227">
        <v>2365</v>
      </c>
      <c r="EP19" s="227">
        <v>3870</v>
      </c>
      <c r="EQ19" s="227">
        <v>2795</v>
      </c>
      <c r="ER19" s="227">
        <v>0</v>
      </c>
      <c r="ES19" s="225">
        <f t="shared" si="21"/>
        <v>485649</v>
      </c>
      <c r="ET19" s="225">
        <f t="shared" si="22"/>
        <v>146666</v>
      </c>
      <c r="EU19" s="226"/>
      <c r="EV19" s="228">
        <f t="shared" si="23"/>
        <v>14291.423999999999</v>
      </c>
      <c r="EW19" s="229">
        <f t="shared" si="24"/>
        <v>73135</v>
      </c>
      <c r="EX19" s="229">
        <f t="shared" si="50"/>
        <v>20740</v>
      </c>
      <c r="EY19" s="229">
        <f t="shared" si="50"/>
        <v>144088</v>
      </c>
      <c r="EZ19" s="229">
        <f t="shared" si="50"/>
        <v>83505</v>
      </c>
      <c r="FA19" s="230">
        <f t="shared" si="26"/>
        <v>87526</v>
      </c>
      <c r="FB19" s="231">
        <f t="shared" si="27"/>
        <v>55631</v>
      </c>
      <c r="FC19" s="226"/>
      <c r="FD19" s="232">
        <f t="shared" si="51"/>
        <v>27000</v>
      </c>
      <c r="FE19" s="230">
        <f t="shared" si="28"/>
        <v>16800</v>
      </c>
      <c r="FF19" s="225">
        <v>3050</v>
      </c>
      <c r="FG19" s="225">
        <f t="shared" si="29"/>
        <v>30240</v>
      </c>
      <c r="FH19" s="233">
        <v>12590</v>
      </c>
      <c r="FI19" s="233">
        <f t="shared" si="52"/>
        <v>9720</v>
      </c>
      <c r="FJ19" s="233">
        <f t="shared" si="30"/>
        <v>13669</v>
      </c>
      <c r="FK19" s="233">
        <f t="shared" si="31"/>
        <v>1350</v>
      </c>
      <c r="FL19" s="225">
        <f t="shared" si="32"/>
        <v>9109</v>
      </c>
      <c r="FM19" s="225">
        <v>76482</v>
      </c>
      <c r="FN19" s="225">
        <v>125045</v>
      </c>
      <c r="FO19" s="225">
        <f t="shared" si="53"/>
        <v>125045</v>
      </c>
      <c r="FP19" s="232">
        <f t="shared" si="33"/>
        <v>9000</v>
      </c>
      <c r="FQ19" s="232">
        <v>9000</v>
      </c>
      <c r="FR19" s="232">
        <v>842</v>
      </c>
      <c r="FS19" s="234"/>
      <c r="FT19" s="235">
        <v>197985.2</v>
      </c>
      <c r="FU19" s="235">
        <v>392391</v>
      </c>
      <c r="FV19" s="235">
        <v>405819</v>
      </c>
      <c r="FW19" s="232">
        <v>13</v>
      </c>
      <c r="FX19" s="232">
        <v>2</v>
      </c>
      <c r="FY19" s="232">
        <v>35608.559999999998</v>
      </c>
      <c r="FZ19" s="232"/>
    </row>
    <row r="20" spans="1:182" ht="35.25" customHeight="1" x14ac:dyDescent="0.3">
      <c r="A20" s="181" t="s">
        <v>194</v>
      </c>
      <c r="B20" s="181" t="s">
        <v>184</v>
      </c>
      <c r="C20" s="182" t="s">
        <v>197</v>
      </c>
      <c r="D20" s="183">
        <v>32.71</v>
      </c>
      <c r="E20" s="183"/>
      <c r="F20" s="183">
        <v>22.4</v>
      </c>
      <c r="G20" s="183">
        <v>1.83</v>
      </c>
      <c r="H20" s="183">
        <v>0.92</v>
      </c>
      <c r="I20" s="184"/>
      <c r="J20" s="183">
        <v>0.32</v>
      </c>
      <c r="K20" s="183">
        <v>0.04</v>
      </c>
      <c r="L20" s="183">
        <v>2.29</v>
      </c>
      <c r="M20" s="185"/>
      <c r="N20" s="186"/>
      <c r="O20" s="187">
        <v>12800</v>
      </c>
      <c r="P20" s="188">
        <v>7701</v>
      </c>
      <c r="Q20" s="187">
        <v>4241.3500000000004</v>
      </c>
      <c r="R20" s="188">
        <v>3175</v>
      </c>
      <c r="S20" s="187">
        <v>3499.67</v>
      </c>
      <c r="T20" s="188">
        <v>1728</v>
      </c>
      <c r="U20" s="187">
        <v>0</v>
      </c>
      <c r="V20" s="188">
        <v>0</v>
      </c>
      <c r="W20" s="187">
        <v>0</v>
      </c>
      <c r="X20" s="188">
        <v>0</v>
      </c>
      <c r="Y20" s="189"/>
      <c r="Z20" s="190">
        <f>+AA20</f>
        <v>3621.2</v>
      </c>
      <c r="AA20" s="191">
        <v>3621.2</v>
      </c>
      <c r="AB20" s="192">
        <f t="shared" si="5"/>
        <v>2885.6</v>
      </c>
      <c r="AC20" s="193">
        <v>2744.9</v>
      </c>
      <c r="AD20" s="193"/>
      <c r="AE20" s="193">
        <v>140.69999999999999</v>
      </c>
      <c r="AF20" s="194">
        <v>560.9</v>
      </c>
      <c r="AG20" s="195">
        <v>218.3</v>
      </c>
      <c r="AH20" s="196">
        <v>860</v>
      </c>
      <c r="AI20" s="196">
        <v>0</v>
      </c>
      <c r="AJ20" s="196">
        <v>960</v>
      </c>
      <c r="AK20" s="197">
        <v>2014</v>
      </c>
      <c r="AL20" s="197">
        <v>56</v>
      </c>
      <c r="AM20" s="201">
        <v>56</v>
      </c>
      <c r="AN20" s="238"/>
      <c r="AO20" s="239"/>
      <c r="AP20" s="198"/>
      <c r="AQ20" s="236">
        <v>8</v>
      </c>
      <c r="AR20" s="237">
        <v>8</v>
      </c>
      <c r="AS20" s="237">
        <v>1</v>
      </c>
      <c r="AT20" s="202">
        <v>1</v>
      </c>
      <c r="AU20" s="203" t="s">
        <v>187</v>
      </c>
      <c r="AV20" s="203" t="s">
        <v>188</v>
      </c>
      <c r="AW20" s="204">
        <f t="shared" si="6"/>
        <v>3</v>
      </c>
      <c r="AX20" s="205">
        <f t="shared" si="7"/>
        <v>218.3</v>
      </c>
      <c r="AY20" s="205">
        <f t="shared" ref="AY20" si="56">+IF(AV20="мягкая",AX20,ROUND(AX20*$AY$6,1))</f>
        <v>327.5</v>
      </c>
      <c r="AZ20" s="205">
        <f t="shared" si="8"/>
        <v>852.7</v>
      </c>
      <c r="BA20" s="206"/>
      <c r="BB20" s="206"/>
      <c r="BC20" s="207"/>
      <c r="BD20" s="208" t="s">
        <v>189</v>
      </c>
      <c r="BE20" s="208" t="s">
        <v>189</v>
      </c>
      <c r="BF20" s="208" t="s">
        <v>189</v>
      </c>
      <c r="BG20" s="208" t="s">
        <v>189</v>
      </c>
      <c r="BH20" s="207" t="s">
        <v>190</v>
      </c>
      <c r="BI20" s="209" t="s">
        <v>191</v>
      </c>
      <c r="BJ20" s="209"/>
      <c r="BK20" s="181" t="s">
        <v>191</v>
      </c>
      <c r="BL20" s="181">
        <v>1</v>
      </c>
      <c r="BM20" s="201" t="s">
        <v>191</v>
      </c>
      <c r="BN20" s="181">
        <v>1</v>
      </c>
      <c r="BO20" s="181" t="s">
        <v>191</v>
      </c>
      <c r="BP20" s="181"/>
      <c r="BQ20" s="181" t="s">
        <v>192</v>
      </c>
      <c r="BR20" s="181"/>
      <c r="BS20" s="210">
        <f t="shared" si="9"/>
        <v>2885.6</v>
      </c>
      <c r="BT20" s="211">
        <f t="shared" si="34"/>
        <v>1.6247395537878264E-2</v>
      </c>
      <c r="BU20" s="211">
        <v>5.0000000000000001E-3</v>
      </c>
      <c r="BV20" s="211">
        <v>3.4828149226404951E-3</v>
      </c>
      <c r="BW20" s="211">
        <f t="shared" si="10"/>
        <v>23084.799999999999</v>
      </c>
      <c r="BX20" s="212">
        <f t="shared" si="35"/>
        <v>8</v>
      </c>
      <c r="BY20" s="213">
        <v>2</v>
      </c>
      <c r="BZ20" s="213">
        <v>3</v>
      </c>
      <c r="CA20" s="213">
        <v>3</v>
      </c>
      <c r="CB20" s="213"/>
      <c r="CC20" s="265"/>
      <c r="CD20" s="265"/>
      <c r="CE20" s="265"/>
      <c r="CF20" s="265"/>
      <c r="CG20" s="143"/>
      <c r="CH20" s="214">
        <f t="shared" si="36"/>
        <v>784719</v>
      </c>
      <c r="CI20" s="215">
        <f t="shared" si="11"/>
        <v>718285</v>
      </c>
      <c r="CJ20" s="215">
        <f t="shared" si="12"/>
        <v>0</v>
      </c>
      <c r="CK20" s="215">
        <f t="shared" si="13"/>
        <v>25213</v>
      </c>
      <c r="CL20" s="215">
        <f t="shared" si="14"/>
        <v>40185</v>
      </c>
      <c r="CM20" s="215">
        <f t="shared" si="15"/>
        <v>0</v>
      </c>
      <c r="CN20" s="215">
        <f t="shared" si="16"/>
        <v>1036</v>
      </c>
      <c r="CO20" s="215"/>
      <c r="CP20" s="216">
        <f t="shared" si="37"/>
        <v>0</v>
      </c>
      <c r="CQ20" s="214">
        <f t="shared" si="38"/>
        <v>736996.40999999992</v>
      </c>
      <c r="CR20" s="217">
        <v>711782.97</v>
      </c>
      <c r="CS20" s="217">
        <v>0</v>
      </c>
      <c r="CT20" s="217">
        <v>25213.439999999999</v>
      </c>
      <c r="CU20" s="214">
        <f t="shared" si="39"/>
        <v>633110.52999999991</v>
      </c>
      <c r="CV20" s="218">
        <v>617200.14999999991</v>
      </c>
      <c r="CW20" s="218">
        <v>0</v>
      </c>
      <c r="CX20" s="218">
        <v>15910.38</v>
      </c>
      <c r="CY20" s="219">
        <f t="shared" si="40"/>
        <v>26249</v>
      </c>
      <c r="CZ20" s="219">
        <f t="shared" si="41"/>
        <v>1035.5600000000013</v>
      </c>
      <c r="DA20" s="215">
        <f t="shared" si="42"/>
        <v>7026.96</v>
      </c>
      <c r="DB20" s="215">
        <f t="shared" si="43"/>
        <v>11.26</v>
      </c>
      <c r="DC20" s="215">
        <f t="shared" si="44"/>
        <v>4819.9800000000005</v>
      </c>
      <c r="DD20" s="217">
        <v>9818.5300000000007</v>
      </c>
      <c r="DE20" s="217">
        <v>0</v>
      </c>
      <c r="DF20" s="217">
        <v>90241.7</v>
      </c>
      <c r="DG20" s="217">
        <v>4327.6000000000004</v>
      </c>
      <c r="DH20" s="218">
        <v>8345.49</v>
      </c>
      <c r="DI20" s="218">
        <v>0</v>
      </c>
      <c r="DJ20" s="218">
        <v>80661.03</v>
      </c>
      <c r="DK20" s="218">
        <v>3690.3</v>
      </c>
      <c r="DL20" s="215">
        <f t="shared" si="17"/>
        <v>20541.019999999997</v>
      </c>
      <c r="DM20" s="218">
        <f t="shared" si="18"/>
        <v>12604</v>
      </c>
      <c r="DN20" s="220">
        <v>269810.24</v>
      </c>
      <c r="DO20" s="220">
        <v>190375.51</v>
      </c>
      <c r="DP20" s="220">
        <v>164241.74</v>
      </c>
      <c r="DQ20" s="220">
        <v>140127.42000000001</v>
      </c>
      <c r="DR20" s="220">
        <v>119507.59</v>
      </c>
      <c r="DS20" s="220">
        <v>0</v>
      </c>
      <c r="DT20" s="220">
        <v>0</v>
      </c>
      <c r="DU20" s="220">
        <v>103786.1</v>
      </c>
      <c r="DV20" s="220">
        <v>88516.5</v>
      </c>
      <c r="DW20" s="220">
        <v>741582.67</v>
      </c>
      <c r="DX20" s="220">
        <v>660894.48</v>
      </c>
      <c r="DY20" s="214">
        <f t="shared" si="19"/>
        <v>1097728.318</v>
      </c>
      <c r="DZ20" s="221">
        <f t="shared" si="20"/>
        <v>94166</v>
      </c>
      <c r="EA20" s="222">
        <f t="shared" si="45"/>
        <v>228047.11</v>
      </c>
      <c r="EB20" s="223">
        <f t="shared" si="46"/>
        <v>0.29060989984950025</v>
      </c>
      <c r="EC20" s="224">
        <f t="shared" si="47"/>
        <v>-313009.31799999997</v>
      </c>
      <c r="ED20" s="225">
        <f t="shared" si="55"/>
        <v>10967</v>
      </c>
      <c r="EE20" s="225">
        <f t="shared" si="55"/>
        <v>6921</v>
      </c>
      <c r="EF20" s="225">
        <f t="shared" si="55"/>
        <v>1462</v>
      </c>
      <c r="EG20" s="225">
        <f t="shared" si="49"/>
        <v>132</v>
      </c>
      <c r="EH20" s="225">
        <v>693</v>
      </c>
      <c r="EI20" s="226"/>
      <c r="EJ20" s="227">
        <v>5520</v>
      </c>
      <c r="EK20" s="227">
        <v>3498</v>
      </c>
      <c r="EL20" s="227">
        <v>4642</v>
      </c>
      <c r="EM20" s="227">
        <v>1820</v>
      </c>
      <c r="EN20" s="227">
        <v>1137</v>
      </c>
      <c r="EO20" s="227">
        <v>875</v>
      </c>
      <c r="EP20" s="227">
        <v>1431</v>
      </c>
      <c r="EQ20" s="227">
        <v>1034</v>
      </c>
      <c r="ER20" s="227">
        <v>0</v>
      </c>
      <c r="ES20" s="225">
        <f t="shared" si="21"/>
        <v>159656</v>
      </c>
      <c r="ET20" s="225">
        <f t="shared" si="22"/>
        <v>48216.11</v>
      </c>
      <c r="EU20" s="226"/>
      <c r="EV20" s="228">
        <f t="shared" si="23"/>
        <v>5270.2079999999996</v>
      </c>
      <c r="EW20" s="229">
        <f t="shared" si="24"/>
        <v>30934</v>
      </c>
      <c r="EX20" s="229">
        <f t="shared" si="50"/>
        <v>8772</v>
      </c>
      <c r="EY20" s="229">
        <f t="shared" si="50"/>
        <v>60944</v>
      </c>
      <c r="EZ20" s="229">
        <f t="shared" si="50"/>
        <v>35320</v>
      </c>
      <c r="FA20" s="230">
        <f t="shared" si="26"/>
        <v>32384</v>
      </c>
      <c r="FB20" s="231">
        <f t="shared" si="27"/>
        <v>21497</v>
      </c>
      <c r="FC20" s="226"/>
      <c r="FD20" s="232">
        <f t="shared" si="51"/>
        <v>8000</v>
      </c>
      <c r="FE20" s="230">
        <f t="shared" si="28"/>
        <v>8400</v>
      </c>
      <c r="FF20" s="225">
        <v>2700</v>
      </c>
      <c r="FG20" s="225">
        <f t="shared" si="29"/>
        <v>13440</v>
      </c>
      <c r="FH20" s="233">
        <v>4181</v>
      </c>
      <c r="FI20" s="233">
        <f t="shared" si="52"/>
        <v>2560</v>
      </c>
      <c r="FJ20" s="233">
        <f t="shared" si="30"/>
        <v>3200</v>
      </c>
      <c r="FK20" s="233">
        <f t="shared" si="31"/>
        <v>400</v>
      </c>
      <c r="FL20" s="225">
        <f t="shared" si="32"/>
        <v>3621</v>
      </c>
      <c r="FM20" s="225">
        <v>76482</v>
      </c>
      <c r="FN20" s="225">
        <v>37050</v>
      </c>
      <c r="FO20" s="225">
        <f t="shared" si="53"/>
        <v>37050</v>
      </c>
      <c r="FP20" s="232">
        <f t="shared" si="33"/>
        <v>3000</v>
      </c>
      <c r="FQ20" s="232">
        <v>3000</v>
      </c>
      <c r="FR20" s="232">
        <v>281</v>
      </c>
      <c r="FS20" s="234"/>
      <c r="FT20" s="235">
        <v>90731</v>
      </c>
      <c r="FU20" s="235">
        <v>130104</v>
      </c>
      <c r="FV20" s="235">
        <v>250360</v>
      </c>
      <c r="FW20" s="232">
        <v>11</v>
      </c>
      <c r="FX20" s="232">
        <v>0</v>
      </c>
      <c r="FY20" s="232">
        <v>0</v>
      </c>
      <c r="FZ20" s="232"/>
    </row>
    <row r="21" spans="1:182" ht="35.25" customHeight="1" x14ac:dyDescent="0.3">
      <c r="A21" s="181" t="s">
        <v>183</v>
      </c>
      <c r="B21" s="181" t="s">
        <v>184</v>
      </c>
      <c r="C21" s="182" t="s">
        <v>198</v>
      </c>
      <c r="D21" s="183">
        <v>32.71</v>
      </c>
      <c r="E21" s="183"/>
      <c r="F21" s="183">
        <v>22.4</v>
      </c>
      <c r="G21" s="183">
        <v>1.83</v>
      </c>
      <c r="H21" s="183">
        <v>0.92</v>
      </c>
      <c r="I21" s="184"/>
      <c r="J21" s="183">
        <v>0.32</v>
      </c>
      <c r="K21" s="183">
        <v>0.04</v>
      </c>
      <c r="L21" s="183">
        <v>2.29</v>
      </c>
      <c r="M21" s="185"/>
      <c r="N21" s="186"/>
      <c r="O21" s="187">
        <v>12800</v>
      </c>
      <c r="P21" s="188">
        <v>7701</v>
      </c>
      <c r="Q21" s="187">
        <v>18236.579999999998</v>
      </c>
      <c r="R21" s="188">
        <v>13652</v>
      </c>
      <c r="S21" s="187">
        <v>6131.82</v>
      </c>
      <c r="T21" s="188">
        <v>3028</v>
      </c>
      <c r="U21" s="187">
        <v>0</v>
      </c>
      <c r="V21" s="188">
        <v>0</v>
      </c>
      <c r="W21" s="187">
        <v>0</v>
      </c>
      <c r="X21" s="188">
        <v>0</v>
      </c>
      <c r="Y21" s="189"/>
      <c r="Z21" s="190">
        <f>+AA21</f>
        <v>9358.2000000000007</v>
      </c>
      <c r="AA21" s="191">
        <v>9358.2000000000007</v>
      </c>
      <c r="AB21" s="192">
        <f t="shared" si="5"/>
        <v>6673.2</v>
      </c>
      <c r="AC21" s="193">
        <v>6383.3</v>
      </c>
      <c r="AD21" s="193"/>
      <c r="AE21" s="193">
        <v>289.89999999999998</v>
      </c>
      <c r="AF21" s="194">
        <v>6383.3</v>
      </c>
      <c r="AG21" s="195">
        <v>709</v>
      </c>
      <c r="AH21" s="196">
        <v>1630</v>
      </c>
      <c r="AI21" s="196">
        <v>780</v>
      </c>
      <c r="AJ21" s="196">
        <v>4710</v>
      </c>
      <c r="AK21" s="197">
        <v>2014</v>
      </c>
      <c r="AL21" s="197">
        <v>136</v>
      </c>
      <c r="AM21" s="201">
        <v>136</v>
      </c>
      <c r="AN21" s="238"/>
      <c r="AO21" s="238">
        <v>71</v>
      </c>
      <c r="AP21" s="238"/>
      <c r="AQ21" s="236">
        <v>9</v>
      </c>
      <c r="AR21" s="237">
        <v>9</v>
      </c>
      <c r="AS21" s="237">
        <v>4</v>
      </c>
      <c r="AT21" s="202">
        <v>4</v>
      </c>
      <c r="AU21" s="203" t="s">
        <v>187</v>
      </c>
      <c r="AV21" s="203" t="s">
        <v>188</v>
      </c>
      <c r="AW21" s="204">
        <f t="shared" si="6"/>
        <v>3</v>
      </c>
      <c r="AX21" s="205">
        <f t="shared" si="7"/>
        <v>709</v>
      </c>
      <c r="AY21" s="205">
        <f t="shared" ref="AY21" si="57">+IF(AV21="мягкая",AX21,ROUND(AX21*$AY$3,1))</f>
        <v>0</v>
      </c>
      <c r="AZ21" s="205">
        <f t="shared" si="8"/>
        <v>1924</v>
      </c>
      <c r="BA21" s="206"/>
      <c r="BB21" s="206"/>
      <c r="BC21" s="207"/>
      <c r="BD21" s="208" t="s">
        <v>189</v>
      </c>
      <c r="BE21" s="208" t="s">
        <v>189</v>
      </c>
      <c r="BF21" s="208" t="s">
        <v>189</v>
      </c>
      <c r="BG21" s="208" t="s">
        <v>189</v>
      </c>
      <c r="BH21" s="207" t="s">
        <v>190</v>
      </c>
      <c r="BI21" s="209" t="s">
        <v>191</v>
      </c>
      <c r="BJ21" s="209"/>
      <c r="BK21" s="181" t="s">
        <v>191</v>
      </c>
      <c r="BL21" s="181">
        <v>2</v>
      </c>
      <c r="BM21" s="201" t="s">
        <v>191</v>
      </c>
      <c r="BN21" s="181">
        <v>1</v>
      </c>
      <c r="BO21" s="181" t="s">
        <v>191</v>
      </c>
      <c r="BP21" s="181"/>
      <c r="BQ21" s="181" t="s">
        <v>192</v>
      </c>
      <c r="BR21" s="181"/>
      <c r="BS21" s="210">
        <f t="shared" si="9"/>
        <v>6673.2</v>
      </c>
      <c r="BT21" s="211">
        <f t="shared" si="34"/>
        <v>3.7573509808486699E-2</v>
      </c>
      <c r="BU21" s="211">
        <v>1.2E-2</v>
      </c>
      <c r="BV21" s="211">
        <v>8.0543112495718577E-3</v>
      </c>
      <c r="BW21" s="211">
        <f t="shared" si="10"/>
        <v>53385.599999999999</v>
      </c>
      <c r="BX21" s="212">
        <f t="shared" si="35"/>
        <v>8</v>
      </c>
      <c r="BY21" s="213">
        <v>2</v>
      </c>
      <c r="BZ21" s="213">
        <v>3</v>
      </c>
      <c r="CA21" s="213">
        <v>3</v>
      </c>
      <c r="CB21" s="213"/>
      <c r="CC21" s="265"/>
      <c r="CD21" s="265"/>
      <c r="CE21" s="265"/>
      <c r="CF21" s="265"/>
      <c r="CG21" s="143"/>
      <c r="CH21" s="214">
        <f t="shared" si="36"/>
        <v>1817918</v>
      </c>
      <c r="CI21" s="215">
        <f t="shared" si="11"/>
        <v>1670382</v>
      </c>
      <c r="CJ21" s="215">
        <f t="shared" si="12"/>
        <v>0</v>
      </c>
      <c r="CK21" s="215">
        <f t="shared" si="13"/>
        <v>51950</v>
      </c>
      <c r="CL21" s="215">
        <f t="shared" si="14"/>
        <v>93452</v>
      </c>
      <c r="CM21" s="215">
        <f t="shared" si="15"/>
        <v>0</v>
      </c>
      <c r="CN21" s="215">
        <f t="shared" si="16"/>
        <v>2134</v>
      </c>
      <c r="CO21" s="215"/>
      <c r="CP21" s="216">
        <f t="shared" si="37"/>
        <v>0</v>
      </c>
      <c r="CQ21" s="214">
        <f t="shared" si="38"/>
        <v>1808170.48</v>
      </c>
      <c r="CR21" s="217">
        <v>1756220.4</v>
      </c>
      <c r="CS21" s="217">
        <v>0</v>
      </c>
      <c r="CT21" s="217">
        <v>51950.080000000002</v>
      </c>
      <c r="CU21" s="214">
        <f t="shared" si="39"/>
        <v>1482018.62</v>
      </c>
      <c r="CV21" s="218">
        <v>1444412.07</v>
      </c>
      <c r="CW21" s="218">
        <v>0</v>
      </c>
      <c r="CX21" s="218">
        <v>37606.550000000003</v>
      </c>
      <c r="CY21" s="219">
        <f t="shared" si="40"/>
        <v>54084</v>
      </c>
      <c r="CZ21" s="219">
        <f t="shared" si="41"/>
        <v>2133.9199999999983</v>
      </c>
      <c r="DA21" s="215">
        <f t="shared" si="42"/>
        <v>16341.28</v>
      </c>
      <c r="DB21" s="215">
        <f t="shared" si="43"/>
        <v>23.2</v>
      </c>
      <c r="DC21" s="215">
        <f t="shared" si="44"/>
        <v>45844.89</v>
      </c>
      <c r="DD21" s="217">
        <v>14659.77</v>
      </c>
      <c r="DE21" s="217">
        <v>0</v>
      </c>
      <c r="DF21" s="217">
        <v>261719.58</v>
      </c>
      <c r="DG21" s="217">
        <v>6455.92</v>
      </c>
      <c r="DH21" s="218">
        <v>11970.65</v>
      </c>
      <c r="DI21" s="218">
        <v>0</v>
      </c>
      <c r="DJ21" s="218">
        <v>225036.86</v>
      </c>
      <c r="DK21" s="218">
        <v>5289.3</v>
      </c>
      <c r="DL21" s="215">
        <f t="shared" si="17"/>
        <v>37168.399999999994</v>
      </c>
      <c r="DM21" s="218">
        <f t="shared" si="18"/>
        <v>24381</v>
      </c>
      <c r="DN21" s="220">
        <v>478492.15999999997</v>
      </c>
      <c r="DO21" s="220">
        <v>466984.34</v>
      </c>
      <c r="DP21" s="220">
        <v>382648.88</v>
      </c>
      <c r="DQ21" s="220">
        <v>355398.22</v>
      </c>
      <c r="DR21" s="220">
        <v>305708.81</v>
      </c>
      <c r="DS21" s="220">
        <v>0</v>
      </c>
      <c r="DT21" s="220">
        <v>0</v>
      </c>
      <c r="DU21" s="220">
        <v>261579.91</v>
      </c>
      <c r="DV21" s="220">
        <v>224854.37</v>
      </c>
      <c r="DW21" s="220">
        <v>1633719.82</v>
      </c>
      <c r="DX21" s="220">
        <v>1447683.09</v>
      </c>
      <c r="DY21" s="214">
        <f t="shared" si="19"/>
        <v>2652234.216</v>
      </c>
      <c r="DZ21" s="221">
        <f t="shared" si="20"/>
        <v>218150</v>
      </c>
      <c r="EA21" s="222">
        <f t="shared" si="45"/>
        <v>584006.28</v>
      </c>
      <c r="EB21" s="223">
        <f t="shared" si="46"/>
        <v>0.32125006738477757</v>
      </c>
      <c r="EC21" s="224">
        <f t="shared" si="47"/>
        <v>-834316.21600000001</v>
      </c>
      <c r="ED21" s="225">
        <f t="shared" si="55"/>
        <v>25362</v>
      </c>
      <c r="EE21" s="225">
        <f t="shared" si="55"/>
        <v>16006</v>
      </c>
      <c r="EF21" s="225">
        <f t="shared" si="55"/>
        <v>3382</v>
      </c>
      <c r="EG21" s="225">
        <f t="shared" si="49"/>
        <v>304</v>
      </c>
      <c r="EH21" s="225">
        <v>1695</v>
      </c>
      <c r="EI21" s="226"/>
      <c r="EJ21" s="227">
        <v>14269</v>
      </c>
      <c r="EK21" s="227">
        <v>9042</v>
      </c>
      <c r="EL21" s="227">
        <v>11996</v>
      </c>
      <c r="EM21" s="227">
        <v>4703</v>
      </c>
      <c r="EN21" s="227">
        <v>2938</v>
      </c>
      <c r="EO21" s="227">
        <v>2261</v>
      </c>
      <c r="EP21" s="227">
        <v>3699</v>
      </c>
      <c r="EQ21" s="227">
        <v>2672</v>
      </c>
      <c r="ER21" s="227">
        <v>0</v>
      </c>
      <c r="ES21" s="225">
        <f t="shared" si="21"/>
        <v>412640</v>
      </c>
      <c r="ET21" s="225">
        <f t="shared" si="22"/>
        <v>124617.28</v>
      </c>
      <c r="EU21" s="226"/>
      <c r="EV21" s="228">
        <f t="shared" si="23"/>
        <v>12255.936</v>
      </c>
      <c r="EW21" s="229">
        <f t="shared" si="24"/>
        <v>71537</v>
      </c>
      <c r="EX21" s="229">
        <f t="shared" si="50"/>
        <v>20287</v>
      </c>
      <c r="EY21" s="229">
        <f t="shared" si="50"/>
        <v>140938</v>
      </c>
      <c r="EZ21" s="229">
        <f t="shared" si="50"/>
        <v>81680</v>
      </c>
      <c r="FA21" s="230">
        <f t="shared" si="26"/>
        <v>77032</v>
      </c>
      <c r="FB21" s="231">
        <f t="shared" si="27"/>
        <v>49713</v>
      </c>
      <c r="FC21" s="226"/>
      <c r="FD21" s="232">
        <f t="shared" si="51"/>
        <v>32000</v>
      </c>
      <c r="FE21" s="230">
        <f t="shared" si="28"/>
        <v>20400</v>
      </c>
      <c r="FF21" s="225">
        <v>2700</v>
      </c>
      <c r="FG21" s="225">
        <f t="shared" si="29"/>
        <v>32640</v>
      </c>
      <c r="FH21" s="233">
        <v>8111</v>
      </c>
      <c r="FI21" s="233">
        <f t="shared" si="52"/>
        <v>11520</v>
      </c>
      <c r="FJ21" s="233">
        <f t="shared" si="30"/>
        <v>14400</v>
      </c>
      <c r="FK21" s="233">
        <f t="shared" si="31"/>
        <v>1600</v>
      </c>
      <c r="FL21" s="225">
        <f t="shared" si="32"/>
        <v>9358</v>
      </c>
      <c r="FM21" s="225">
        <v>76482</v>
      </c>
      <c r="FN21" s="225">
        <v>148202</v>
      </c>
      <c r="FO21" s="225">
        <f t="shared" si="53"/>
        <v>148202</v>
      </c>
      <c r="FP21" s="232">
        <f t="shared" si="33"/>
        <v>12000</v>
      </c>
      <c r="FQ21" s="232">
        <v>12000</v>
      </c>
      <c r="FR21" s="232">
        <v>1123</v>
      </c>
      <c r="FS21" s="234"/>
      <c r="FT21" s="235">
        <v>198751</v>
      </c>
      <c r="FU21" s="235">
        <v>352272</v>
      </c>
      <c r="FV21" s="235">
        <v>533024</v>
      </c>
      <c r="FW21" s="232">
        <v>25</v>
      </c>
      <c r="FX21" s="232">
        <v>12</v>
      </c>
      <c r="FY21" s="232">
        <v>208061.28</v>
      </c>
      <c r="FZ21" s="232"/>
    </row>
    <row r="22" spans="1:182" ht="35.25" customHeight="1" x14ac:dyDescent="0.3">
      <c r="A22" s="181" t="s">
        <v>194</v>
      </c>
      <c r="B22" s="181" t="s">
        <v>184</v>
      </c>
      <c r="C22" s="182" t="s">
        <v>199</v>
      </c>
      <c r="D22" s="183">
        <v>31.94</v>
      </c>
      <c r="E22" s="183"/>
      <c r="F22" s="183">
        <v>16.89</v>
      </c>
      <c r="G22" s="183">
        <v>1.83</v>
      </c>
      <c r="H22" s="183">
        <v>0.92</v>
      </c>
      <c r="I22" s="184">
        <v>2.9700000000000006</v>
      </c>
      <c r="J22" s="183">
        <v>0.27</v>
      </c>
      <c r="K22" s="183">
        <v>0.04</v>
      </c>
      <c r="L22" s="183">
        <v>2.08</v>
      </c>
      <c r="M22" s="185">
        <v>1.25</v>
      </c>
      <c r="N22" s="186"/>
      <c r="O22" s="187">
        <v>14400</v>
      </c>
      <c r="P22" s="188">
        <v>8663</v>
      </c>
      <c r="Q22" s="187">
        <v>29579.940000000002</v>
      </c>
      <c r="R22" s="188">
        <v>22143</v>
      </c>
      <c r="S22" s="187">
        <v>10720.53</v>
      </c>
      <c r="T22" s="188">
        <v>5295</v>
      </c>
      <c r="U22" s="187">
        <v>7350.99</v>
      </c>
      <c r="V22" s="188">
        <v>5413</v>
      </c>
      <c r="W22" s="187">
        <v>0</v>
      </c>
      <c r="X22" s="188">
        <v>0</v>
      </c>
      <c r="Y22" s="189">
        <v>49973</v>
      </c>
      <c r="Z22" s="190">
        <v>12021</v>
      </c>
      <c r="AA22" s="191">
        <v>14473.3</v>
      </c>
      <c r="AB22" s="192">
        <f t="shared" si="5"/>
        <v>8986.7999999999993</v>
      </c>
      <c r="AC22" s="193">
        <v>8388.7999999999993</v>
      </c>
      <c r="AD22" s="193">
        <v>114.3</v>
      </c>
      <c r="AE22" s="193">
        <v>483.7</v>
      </c>
      <c r="AF22" s="194">
        <v>1144.3</v>
      </c>
      <c r="AG22" s="195">
        <v>1359.4</v>
      </c>
      <c r="AH22" s="196">
        <v>1880</v>
      </c>
      <c r="AI22" s="196">
        <v>204</v>
      </c>
      <c r="AJ22" s="196">
        <v>2260</v>
      </c>
      <c r="AK22" s="197">
        <v>2017</v>
      </c>
      <c r="AL22" s="197">
        <v>207</v>
      </c>
      <c r="AM22" s="198">
        <v>207</v>
      </c>
      <c r="AN22" s="198">
        <v>1</v>
      </c>
      <c r="AO22" s="198">
        <v>118</v>
      </c>
      <c r="AP22" s="198"/>
      <c r="AQ22" s="199">
        <v>8</v>
      </c>
      <c r="AR22" s="200">
        <v>8</v>
      </c>
      <c r="AS22" s="201">
        <v>6</v>
      </c>
      <c r="AT22" s="202">
        <v>6</v>
      </c>
      <c r="AU22" s="203" t="s">
        <v>187</v>
      </c>
      <c r="AV22" s="203" t="s">
        <v>188</v>
      </c>
      <c r="AW22" s="204">
        <f t="shared" si="6"/>
        <v>3</v>
      </c>
      <c r="AX22" s="205">
        <f t="shared" si="7"/>
        <v>1359.4</v>
      </c>
      <c r="AY22" s="205">
        <f>+IF(AV22="мягкая",AX22,ROUND(AX22*$AY$6,1))</f>
        <v>2039.1</v>
      </c>
      <c r="AZ22" s="205">
        <f t="shared" si="8"/>
        <v>2667.4</v>
      </c>
      <c r="BA22" s="206"/>
      <c r="BB22" s="206"/>
      <c r="BC22" s="207"/>
      <c r="BD22" s="208" t="s">
        <v>189</v>
      </c>
      <c r="BE22" s="208" t="s">
        <v>189</v>
      </c>
      <c r="BF22" s="208" t="s">
        <v>189</v>
      </c>
      <c r="BG22" s="208" t="s">
        <v>189</v>
      </c>
      <c r="BH22" s="207" t="s">
        <v>190</v>
      </c>
      <c r="BI22" s="209" t="s">
        <v>190</v>
      </c>
      <c r="BJ22" s="209" t="s">
        <v>200</v>
      </c>
      <c r="BK22" s="181" t="s">
        <v>191</v>
      </c>
      <c r="BL22" s="181">
        <v>3</v>
      </c>
      <c r="BM22" s="201" t="s">
        <v>191</v>
      </c>
      <c r="BN22" s="181">
        <v>1</v>
      </c>
      <c r="BO22" s="181" t="s">
        <v>191</v>
      </c>
      <c r="BP22" s="181"/>
      <c r="BQ22" s="181" t="s">
        <v>192</v>
      </c>
      <c r="BR22" s="181"/>
      <c r="BS22" s="210">
        <f t="shared" si="9"/>
        <v>8986.7999999999993</v>
      </c>
      <c r="BT22" s="211">
        <f t="shared" si="34"/>
        <v>5.6925286248017716E-2</v>
      </c>
      <c r="BU22" s="211">
        <v>1.7000000000000001E-2</v>
      </c>
      <c r="BV22" s="211">
        <v>1.1781196210078169E-2</v>
      </c>
      <c r="BW22" s="211">
        <f t="shared" si="10"/>
        <v>80881.2</v>
      </c>
      <c r="BX22" s="212">
        <f t="shared" si="35"/>
        <v>9</v>
      </c>
      <c r="BY22" s="213">
        <v>3</v>
      </c>
      <c r="BZ22" s="213">
        <v>3</v>
      </c>
      <c r="CA22" s="213">
        <v>3</v>
      </c>
      <c r="CB22" s="213"/>
      <c r="CC22" s="265"/>
      <c r="CD22" s="265"/>
      <c r="CE22" s="265"/>
      <c r="CF22" s="265"/>
      <c r="CG22" s="143"/>
      <c r="CH22" s="214">
        <f t="shared" si="36"/>
        <v>2806665</v>
      </c>
      <c r="CI22" s="215">
        <f t="shared" si="11"/>
        <v>2411444</v>
      </c>
      <c r="CJ22" s="215">
        <f t="shared" si="12"/>
        <v>32857</v>
      </c>
      <c r="CK22" s="215">
        <f t="shared" si="13"/>
        <v>73527</v>
      </c>
      <c r="CL22" s="215">
        <f t="shared" si="14"/>
        <v>138164</v>
      </c>
      <c r="CM22" s="215">
        <f t="shared" si="15"/>
        <v>1883</v>
      </c>
      <c r="CN22" s="215">
        <f t="shared" si="16"/>
        <v>4005</v>
      </c>
      <c r="CO22" s="215">
        <f>318878/4*3+0.5</f>
        <v>239159</v>
      </c>
      <c r="CP22" s="216">
        <f t="shared" si="37"/>
        <v>94374</v>
      </c>
      <c r="CQ22" s="214">
        <f t="shared" si="38"/>
        <v>2789088.4980000001</v>
      </c>
      <c r="CR22" s="217">
        <v>2671843.5</v>
      </c>
      <c r="CS22" s="217">
        <v>37794.438000000002</v>
      </c>
      <c r="CT22" s="217">
        <v>79450.559999999998</v>
      </c>
      <c r="CU22" s="214">
        <f t="shared" si="39"/>
        <v>2279410.9000000004</v>
      </c>
      <c r="CV22" s="218">
        <v>2201170.5800000005</v>
      </c>
      <c r="CW22" s="218">
        <v>24907.21</v>
      </c>
      <c r="CX22" s="218">
        <v>53333.11</v>
      </c>
      <c r="CY22" s="219">
        <f t="shared" si="40"/>
        <v>77532</v>
      </c>
      <c r="CZ22" s="219">
        <f t="shared" si="41"/>
        <v>-1918.5599999999977</v>
      </c>
      <c r="DA22" s="215">
        <f t="shared" si="42"/>
        <v>20662.560000000001</v>
      </c>
      <c r="DB22" s="215">
        <f t="shared" si="43"/>
        <v>71.760000000000005</v>
      </c>
      <c r="DC22" s="215">
        <f t="shared" si="44"/>
        <v>10158.719999999999</v>
      </c>
      <c r="DD22" s="217">
        <v>38746.35</v>
      </c>
      <c r="DE22" s="217">
        <v>79.680000000000007</v>
      </c>
      <c r="DF22" s="217">
        <v>248958.09</v>
      </c>
      <c r="DG22" s="217">
        <v>17104.740000000002</v>
      </c>
      <c r="DH22" s="218">
        <v>31457.14</v>
      </c>
      <c r="DI22" s="218">
        <v>70.739999999999995</v>
      </c>
      <c r="DJ22" s="218">
        <v>201610.96</v>
      </c>
      <c r="DK22" s="218">
        <v>13936.62</v>
      </c>
      <c r="DL22" s="215">
        <f t="shared" si="17"/>
        <v>62051.46</v>
      </c>
      <c r="DM22" s="218">
        <f t="shared" si="18"/>
        <v>41514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3348.8</v>
      </c>
      <c r="DT22" s="220">
        <v>2152.85</v>
      </c>
      <c r="DU22" s="220">
        <v>156104.78</v>
      </c>
      <c r="DV22" s="220">
        <v>125135.2</v>
      </c>
      <c r="DW22" s="220">
        <v>2987082.95</v>
      </c>
      <c r="DX22" s="220">
        <v>2628752.69</v>
      </c>
      <c r="DY22" s="214">
        <f t="shared" si="19"/>
        <v>3997361.8459999999</v>
      </c>
      <c r="DZ22" s="221">
        <f t="shared" si="20"/>
        <v>336800</v>
      </c>
      <c r="EA22" s="222">
        <f t="shared" si="45"/>
        <v>915530.15</v>
      </c>
      <c r="EB22" s="223">
        <f t="shared" si="46"/>
        <v>0.32619858444096467</v>
      </c>
      <c r="EC22" s="224">
        <f t="shared" si="47"/>
        <v>-1190696.8459999999</v>
      </c>
      <c r="ED22" s="225">
        <f t="shared" si="55"/>
        <v>38425</v>
      </c>
      <c r="EE22" s="225">
        <f t="shared" si="55"/>
        <v>24250</v>
      </c>
      <c r="EF22" s="225">
        <f t="shared" si="55"/>
        <v>5123</v>
      </c>
      <c r="EG22" s="225">
        <f t="shared" si="49"/>
        <v>461</v>
      </c>
      <c r="EH22" s="225">
        <v>4911</v>
      </c>
      <c r="EI22" s="226"/>
      <c r="EJ22" s="227">
        <v>19892.5</v>
      </c>
      <c r="EK22" s="227">
        <v>12606</v>
      </c>
      <c r="EL22" s="227">
        <v>16719</v>
      </c>
      <c r="EM22" s="227">
        <v>6548.5</v>
      </c>
      <c r="EN22" s="227">
        <v>4094</v>
      </c>
      <c r="EO22" s="227">
        <v>3148</v>
      </c>
      <c r="EP22" s="227">
        <v>5157</v>
      </c>
      <c r="EQ22" s="227">
        <v>3721</v>
      </c>
      <c r="ER22" s="227">
        <v>0</v>
      </c>
      <c r="ES22" s="225">
        <f t="shared" si="21"/>
        <v>646974</v>
      </c>
      <c r="ET22" s="225">
        <f t="shared" si="22"/>
        <v>195386.15</v>
      </c>
      <c r="EU22" s="226"/>
      <c r="EV22" s="228">
        <f t="shared" si="23"/>
        <v>18366.695999999996</v>
      </c>
      <c r="EW22" s="229">
        <f t="shared" si="24"/>
        <v>107002</v>
      </c>
      <c r="EX22" s="229">
        <f t="shared" si="50"/>
        <v>30344</v>
      </c>
      <c r="EY22" s="229">
        <f t="shared" si="50"/>
        <v>210811</v>
      </c>
      <c r="EZ22" s="229">
        <f t="shared" si="50"/>
        <v>122174</v>
      </c>
      <c r="FA22" s="230">
        <f t="shared" si="26"/>
        <v>93347</v>
      </c>
      <c r="FB22" s="231">
        <f t="shared" si="27"/>
        <v>72716</v>
      </c>
      <c r="FC22" s="226"/>
      <c r="FD22" s="232">
        <f t="shared" si="51"/>
        <v>54000</v>
      </c>
      <c r="FE22" s="230">
        <f t="shared" si="28"/>
        <v>31050</v>
      </c>
      <c r="FF22" s="225">
        <v>3050</v>
      </c>
      <c r="FG22" s="225">
        <f t="shared" si="29"/>
        <v>55890</v>
      </c>
      <c r="FH22" s="233">
        <v>11295</v>
      </c>
      <c r="FI22" s="233">
        <f>+AS22*AQ22*BX22*40</f>
        <v>17280</v>
      </c>
      <c r="FJ22" s="233">
        <f t="shared" si="30"/>
        <v>0</v>
      </c>
      <c r="FK22" s="233">
        <f t="shared" si="31"/>
        <v>0</v>
      </c>
      <c r="FL22" s="225">
        <f t="shared" si="32"/>
        <v>14473</v>
      </c>
      <c r="FM22" s="225">
        <v>76482</v>
      </c>
      <c r="FN22" s="225">
        <v>250090</v>
      </c>
      <c r="FO22" s="225">
        <f t="shared" si="53"/>
        <v>250090</v>
      </c>
      <c r="FP22" s="232">
        <f t="shared" si="33"/>
        <v>18000</v>
      </c>
      <c r="FQ22" s="232">
        <v>18000</v>
      </c>
      <c r="FR22" s="232">
        <v>1685</v>
      </c>
      <c r="FS22" s="234"/>
      <c r="FT22" s="235">
        <v>267799</v>
      </c>
      <c r="FU22" s="235">
        <v>567444</v>
      </c>
      <c r="FV22" s="235">
        <v>790443</v>
      </c>
      <c r="FW22" s="232">
        <v>46</v>
      </c>
      <c r="FX22" s="232">
        <v>7</v>
      </c>
      <c r="FY22" s="232">
        <v>104609.99</v>
      </c>
      <c r="FZ22" s="232"/>
    </row>
    <row r="23" spans="1:182" ht="35.25" customHeight="1" x14ac:dyDescent="0.3">
      <c r="A23" s="181" t="s">
        <v>194</v>
      </c>
      <c r="B23" s="181" t="s">
        <v>184</v>
      </c>
      <c r="C23" s="182" t="s">
        <v>201</v>
      </c>
      <c r="D23" s="183">
        <v>31.94</v>
      </c>
      <c r="E23" s="183"/>
      <c r="F23" s="183">
        <v>16.89</v>
      </c>
      <c r="G23" s="183">
        <v>1.83</v>
      </c>
      <c r="H23" s="183">
        <v>0.92</v>
      </c>
      <c r="I23" s="184">
        <v>2.9700000000000006</v>
      </c>
      <c r="J23" s="183">
        <v>0.27</v>
      </c>
      <c r="K23" s="183">
        <v>0.04</v>
      </c>
      <c r="L23" s="183">
        <v>2.08</v>
      </c>
      <c r="M23" s="185">
        <v>1.25</v>
      </c>
      <c r="N23" s="186"/>
      <c r="O23" s="187">
        <v>14400</v>
      </c>
      <c r="P23" s="188">
        <v>8663</v>
      </c>
      <c r="Q23" s="187">
        <v>11832</v>
      </c>
      <c r="R23" s="188">
        <v>8857</v>
      </c>
      <c r="S23" s="187">
        <v>4613.37</v>
      </c>
      <c r="T23" s="188">
        <v>2279</v>
      </c>
      <c r="U23" s="187">
        <v>6050.4</v>
      </c>
      <c r="V23" s="188">
        <v>4456</v>
      </c>
      <c r="W23" s="187">
        <v>0</v>
      </c>
      <c r="X23" s="188">
        <v>0</v>
      </c>
      <c r="Y23" s="189"/>
      <c r="Z23" s="190">
        <f t="shared" ref="Z23:Z27" si="58">+AA23</f>
        <v>5466.1</v>
      </c>
      <c r="AA23" s="191">
        <v>5466.1</v>
      </c>
      <c r="AB23" s="192">
        <f t="shared" si="5"/>
        <v>3697.6</v>
      </c>
      <c r="AC23" s="193">
        <v>3463.7</v>
      </c>
      <c r="AD23" s="193"/>
      <c r="AE23" s="193">
        <v>233.9</v>
      </c>
      <c r="AF23" s="194">
        <v>938.3</v>
      </c>
      <c r="AG23" s="195">
        <v>703.30000000000007</v>
      </c>
      <c r="AH23" s="196">
        <v>1240</v>
      </c>
      <c r="AI23" s="196">
        <v>714</v>
      </c>
      <c r="AJ23" s="196">
        <v>930</v>
      </c>
      <c r="AK23" s="197">
        <v>2017</v>
      </c>
      <c r="AL23" s="197">
        <v>84</v>
      </c>
      <c r="AM23" s="198">
        <v>84</v>
      </c>
      <c r="AN23" s="198"/>
      <c r="AO23" s="198">
        <v>64</v>
      </c>
      <c r="AP23" s="198"/>
      <c r="AQ23" s="199">
        <v>8</v>
      </c>
      <c r="AR23" s="200" t="s">
        <v>202</v>
      </c>
      <c r="AS23" s="201">
        <v>4</v>
      </c>
      <c r="AT23" s="202">
        <v>4</v>
      </c>
      <c r="AU23" s="203" t="s">
        <v>187</v>
      </c>
      <c r="AV23" s="203" t="s">
        <v>188</v>
      </c>
      <c r="AW23" s="204">
        <f t="shared" si="6"/>
        <v>3</v>
      </c>
      <c r="AX23" s="205">
        <f t="shared" si="7"/>
        <v>703.30000000000007</v>
      </c>
      <c r="AY23" s="205">
        <f t="shared" ref="AY23:AY32" si="59">+IF(AV23="мягкая",AX23,ROUND(AX23*$AY$6,1))</f>
        <v>1055</v>
      </c>
      <c r="AZ23" s="205">
        <f t="shared" si="8"/>
        <v>1192.7</v>
      </c>
      <c r="BA23" s="206"/>
      <c r="BB23" s="206"/>
      <c r="BC23" s="207"/>
      <c r="BD23" s="208" t="s">
        <v>189</v>
      </c>
      <c r="BE23" s="208" t="s">
        <v>189</v>
      </c>
      <c r="BF23" s="208" t="s">
        <v>189</v>
      </c>
      <c r="BG23" s="208" t="s">
        <v>189</v>
      </c>
      <c r="BH23" s="207" t="s">
        <v>190</v>
      </c>
      <c r="BI23" s="209" t="s">
        <v>190</v>
      </c>
      <c r="BJ23" s="209" t="s">
        <v>200</v>
      </c>
      <c r="BK23" s="181" t="s">
        <v>191</v>
      </c>
      <c r="BL23" s="181">
        <v>2</v>
      </c>
      <c r="BM23" s="201" t="s">
        <v>191</v>
      </c>
      <c r="BN23" s="181">
        <v>1</v>
      </c>
      <c r="BO23" s="181" t="s">
        <v>191</v>
      </c>
      <c r="BP23" s="181"/>
      <c r="BQ23" s="181" t="s">
        <v>192</v>
      </c>
      <c r="BR23" s="181"/>
      <c r="BS23" s="210">
        <f t="shared" si="9"/>
        <v>3697.6</v>
      </c>
      <c r="BT23" s="211">
        <f t="shared" si="34"/>
        <v>2.3421789561431247E-2</v>
      </c>
      <c r="BU23" s="211">
        <v>7.0000000000000001E-3</v>
      </c>
      <c r="BV23" s="211">
        <v>4.8685849955725589E-3</v>
      </c>
      <c r="BW23" s="211">
        <f t="shared" si="10"/>
        <v>33278.400000000001</v>
      </c>
      <c r="BX23" s="212">
        <f t="shared" si="35"/>
        <v>9</v>
      </c>
      <c r="BY23" s="213">
        <v>3</v>
      </c>
      <c r="BZ23" s="213">
        <v>3</v>
      </c>
      <c r="CA23" s="213">
        <v>3</v>
      </c>
      <c r="CB23" s="213"/>
      <c r="CC23" s="265"/>
      <c r="CD23" s="265"/>
      <c r="CE23" s="265"/>
      <c r="CF23" s="265"/>
      <c r="CG23" s="143"/>
      <c r="CH23" s="214">
        <f t="shared" si="36"/>
        <v>1150080</v>
      </c>
      <c r="CI23" s="215">
        <f t="shared" si="11"/>
        <v>995675</v>
      </c>
      <c r="CJ23" s="215">
        <f t="shared" si="12"/>
        <v>0</v>
      </c>
      <c r="CK23" s="215">
        <f t="shared" si="13"/>
        <v>35555</v>
      </c>
      <c r="CL23" s="215">
        <f t="shared" si="14"/>
        <v>57047</v>
      </c>
      <c r="CM23" s="215">
        <f t="shared" si="15"/>
        <v>0</v>
      </c>
      <c r="CN23" s="215">
        <f t="shared" si="16"/>
        <v>1937</v>
      </c>
      <c r="CO23" s="215">
        <f>131782/4*3-0.5</f>
        <v>98836</v>
      </c>
      <c r="CP23" s="216">
        <f t="shared" si="37"/>
        <v>38970</v>
      </c>
      <c r="CQ23" s="214">
        <f t="shared" si="38"/>
        <v>1141551.74</v>
      </c>
      <c r="CR23" s="217">
        <v>1099744.22</v>
      </c>
      <c r="CS23" s="217">
        <v>0</v>
      </c>
      <c r="CT23" s="217">
        <v>41807.519999999997</v>
      </c>
      <c r="CU23" s="214">
        <f t="shared" si="39"/>
        <v>910757.12999999977</v>
      </c>
      <c r="CV23" s="218">
        <v>878942.56999999972</v>
      </c>
      <c r="CW23" s="218">
        <v>0</v>
      </c>
      <c r="CX23" s="218">
        <v>31814.560000000001</v>
      </c>
      <c r="CY23" s="219">
        <f t="shared" si="40"/>
        <v>37492</v>
      </c>
      <c r="CZ23" s="219">
        <f t="shared" si="41"/>
        <v>-4315.5199999999968</v>
      </c>
      <c r="DA23" s="215">
        <f t="shared" si="42"/>
        <v>8416.8000000000011</v>
      </c>
      <c r="DB23" s="215">
        <f t="shared" si="43"/>
        <v>28.08</v>
      </c>
      <c r="DC23" s="215">
        <f t="shared" si="44"/>
        <v>7314.5399999999991</v>
      </c>
      <c r="DD23" s="217">
        <v>16417.82</v>
      </c>
      <c r="DE23" s="217">
        <v>0</v>
      </c>
      <c r="DF23" s="217">
        <v>210797.94</v>
      </c>
      <c r="DG23" s="217">
        <v>7241.3</v>
      </c>
      <c r="DH23" s="218">
        <v>12985.27</v>
      </c>
      <c r="DI23" s="218">
        <v>0</v>
      </c>
      <c r="DJ23" s="218">
        <v>166538.28</v>
      </c>
      <c r="DK23" s="218">
        <v>5752.96</v>
      </c>
      <c r="DL23" s="215">
        <f t="shared" si="17"/>
        <v>36895.769999999997</v>
      </c>
      <c r="DM23" s="218">
        <f t="shared" si="18"/>
        <v>24255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717.6</v>
      </c>
      <c r="DT23" s="220">
        <v>478.4</v>
      </c>
      <c r="DU23" s="220">
        <v>63362.33</v>
      </c>
      <c r="DV23" s="220">
        <v>49251.31</v>
      </c>
      <c r="DW23" s="220">
        <v>1498597.78</v>
      </c>
      <c r="DX23" s="220">
        <v>1298392.69</v>
      </c>
      <c r="DY23" s="214">
        <f t="shared" si="19"/>
        <v>2018066.7919999999</v>
      </c>
      <c r="DZ23" s="221">
        <f t="shared" si="20"/>
        <v>138010</v>
      </c>
      <c r="EA23" s="222">
        <f t="shared" si="45"/>
        <v>415267.4</v>
      </c>
      <c r="EB23" s="223">
        <f t="shared" si="46"/>
        <v>0.36107696855870897</v>
      </c>
      <c r="EC23" s="224">
        <f t="shared" si="47"/>
        <v>-867986.7919999999</v>
      </c>
      <c r="ED23" s="225">
        <f t="shared" si="55"/>
        <v>15810</v>
      </c>
      <c r="EE23" s="225">
        <f t="shared" si="55"/>
        <v>9978</v>
      </c>
      <c r="EF23" s="225">
        <f t="shared" si="55"/>
        <v>2108</v>
      </c>
      <c r="EG23" s="225">
        <f t="shared" si="49"/>
        <v>190</v>
      </c>
      <c r="EH23" s="225">
        <v>1917</v>
      </c>
      <c r="EI23" s="226"/>
      <c r="EJ23" s="227">
        <v>9097</v>
      </c>
      <c r="EK23" s="227">
        <v>5764</v>
      </c>
      <c r="EL23" s="227">
        <v>7645</v>
      </c>
      <c r="EM23" s="227">
        <v>2997</v>
      </c>
      <c r="EN23" s="227">
        <v>1873</v>
      </c>
      <c r="EO23" s="227">
        <v>1441</v>
      </c>
      <c r="EP23" s="227">
        <v>2358</v>
      </c>
      <c r="EQ23" s="227">
        <v>1703</v>
      </c>
      <c r="ER23" s="227">
        <v>0</v>
      </c>
      <c r="ES23" s="225">
        <f t="shared" si="21"/>
        <v>295902</v>
      </c>
      <c r="ET23" s="225">
        <f t="shared" si="22"/>
        <v>89362.4</v>
      </c>
      <c r="EU23" s="226"/>
      <c r="EV23" s="228">
        <f t="shared" si="23"/>
        <v>7481.5919999999987</v>
      </c>
      <c r="EW23" s="229">
        <f t="shared" si="24"/>
        <v>44593</v>
      </c>
      <c r="EX23" s="229">
        <f t="shared" si="50"/>
        <v>12646</v>
      </c>
      <c r="EY23" s="229">
        <f t="shared" si="50"/>
        <v>87855</v>
      </c>
      <c r="EZ23" s="229">
        <f t="shared" si="50"/>
        <v>50916</v>
      </c>
      <c r="FA23" s="230">
        <f t="shared" si="26"/>
        <v>41536</v>
      </c>
      <c r="FB23" s="231">
        <f t="shared" si="27"/>
        <v>30050</v>
      </c>
      <c r="FC23" s="226"/>
      <c r="FD23" s="232">
        <f t="shared" si="51"/>
        <v>36000</v>
      </c>
      <c r="FE23" s="230">
        <f t="shared" si="28"/>
        <v>12600</v>
      </c>
      <c r="FF23" s="225">
        <v>3050</v>
      </c>
      <c r="FG23" s="225">
        <f t="shared" si="29"/>
        <v>22680</v>
      </c>
      <c r="FH23" s="233">
        <v>7367</v>
      </c>
      <c r="FI23" s="233">
        <f t="shared" ref="FI23:FI34" si="60">+AS23*AQ23*BX23*40</f>
        <v>11520</v>
      </c>
      <c r="FJ23" s="233">
        <f t="shared" si="30"/>
        <v>0</v>
      </c>
      <c r="FK23" s="233">
        <f t="shared" si="31"/>
        <v>0</v>
      </c>
      <c r="FL23" s="225">
        <f t="shared" si="32"/>
        <v>5466</v>
      </c>
      <c r="FM23" s="225">
        <v>76482</v>
      </c>
      <c r="FN23" s="225">
        <v>166727</v>
      </c>
      <c r="FO23" s="225">
        <f t="shared" si="53"/>
        <v>166727</v>
      </c>
      <c r="FP23" s="232">
        <f t="shared" si="33"/>
        <v>12000</v>
      </c>
      <c r="FQ23" s="232">
        <v>12000</v>
      </c>
      <c r="FR23" s="232">
        <v>1123</v>
      </c>
      <c r="FS23" s="234"/>
      <c r="FT23" s="235">
        <v>160769.79999999999</v>
      </c>
      <c r="FU23" s="235">
        <v>281904</v>
      </c>
      <c r="FV23" s="235">
        <v>351306</v>
      </c>
      <c r="FW23" s="232">
        <v>14</v>
      </c>
      <c r="FX23" s="232">
        <v>0</v>
      </c>
      <c r="FY23" s="232">
        <v>0</v>
      </c>
      <c r="FZ23" s="232"/>
    </row>
    <row r="24" spans="1:182" ht="35.25" customHeight="1" x14ac:dyDescent="0.3">
      <c r="A24" s="181" t="s">
        <v>203</v>
      </c>
      <c r="B24" s="181" t="s">
        <v>184</v>
      </c>
      <c r="C24" s="182" t="s">
        <v>204</v>
      </c>
      <c r="D24" s="183">
        <v>33.770000000000003</v>
      </c>
      <c r="E24" s="183"/>
      <c r="F24" s="183">
        <v>33.770000000000003</v>
      </c>
      <c r="G24" s="183">
        <v>1.83</v>
      </c>
      <c r="H24" s="183">
        <v>1.83</v>
      </c>
      <c r="I24" s="184"/>
      <c r="J24" s="183">
        <v>0.27</v>
      </c>
      <c r="K24" s="183">
        <v>0.04</v>
      </c>
      <c r="L24" s="183">
        <v>2.08</v>
      </c>
      <c r="M24" s="240">
        <v>1.25</v>
      </c>
      <c r="N24" s="186"/>
      <c r="O24" s="187">
        <v>3200</v>
      </c>
      <c r="P24" s="188">
        <v>1925</v>
      </c>
      <c r="Q24" s="187">
        <v>0</v>
      </c>
      <c r="R24" s="188">
        <v>0</v>
      </c>
      <c r="S24" s="187">
        <v>0</v>
      </c>
      <c r="T24" s="188">
        <v>0</v>
      </c>
      <c r="U24" s="187">
        <v>3980</v>
      </c>
      <c r="V24" s="188">
        <v>2931</v>
      </c>
      <c r="W24" s="187">
        <v>0</v>
      </c>
      <c r="X24" s="188">
        <v>0</v>
      </c>
      <c r="Y24" s="189">
        <v>83043.7</v>
      </c>
      <c r="Z24" s="190">
        <f>+AA24</f>
        <v>24318</v>
      </c>
      <c r="AA24" s="191">
        <v>24318</v>
      </c>
      <c r="AB24" s="192">
        <f t="shared" si="5"/>
        <v>15663.699999999999</v>
      </c>
      <c r="AC24" s="193">
        <v>14635.3</v>
      </c>
      <c r="AD24" s="193">
        <v>111.4</v>
      </c>
      <c r="AE24" s="193">
        <v>917</v>
      </c>
      <c r="AF24" s="194">
        <v>2000</v>
      </c>
      <c r="AG24" s="195">
        <v>1000</v>
      </c>
      <c r="AH24" s="196">
        <v>2000</v>
      </c>
      <c r="AI24" s="196">
        <v>600</v>
      </c>
      <c r="AJ24" s="196"/>
      <c r="AK24" s="197">
        <v>2017</v>
      </c>
      <c r="AL24" s="197">
        <f>+AM24</f>
        <v>314</v>
      </c>
      <c r="AM24" s="198">
        <v>314</v>
      </c>
      <c r="AN24" s="198"/>
      <c r="AO24" s="198">
        <v>235</v>
      </c>
      <c r="AP24" s="198"/>
      <c r="AQ24" s="199">
        <v>7</v>
      </c>
      <c r="AR24" s="200" t="s">
        <v>205</v>
      </c>
      <c r="AS24" s="201">
        <v>12</v>
      </c>
      <c r="AT24" s="202">
        <v>12</v>
      </c>
      <c r="AU24" s="203" t="s">
        <v>187</v>
      </c>
      <c r="AV24" s="203" t="s">
        <v>188</v>
      </c>
      <c r="AW24" s="204">
        <f t="shared" si="6"/>
        <v>3</v>
      </c>
      <c r="AX24" s="205">
        <f t="shared" si="7"/>
        <v>1000</v>
      </c>
      <c r="AY24" s="205">
        <f>+IF(AV24="мягкая",AX24,ROUND(AX24*$AY$6,1))</f>
        <v>1500</v>
      </c>
      <c r="AZ24" s="205">
        <f t="shared" si="8"/>
        <v>6664.3</v>
      </c>
      <c r="BA24" s="206"/>
      <c r="BB24" s="206"/>
      <c r="BC24" s="207"/>
      <c r="BD24" s="208" t="s">
        <v>189</v>
      </c>
      <c r="BE24" s="208" t="s">
        <v>189</v>
      </c>
      <c r="BF24" s="208" t="s">
        <v>189</v>
      </c>
      <c r="BG24" s="208" t="s">
        <v>189</v>
      </c>
      <c r="BH24" s="207" t="s">
        <v>190</v>
      </c>
      <c r="BI24" s="209" t="s">
        <v>190</v>
      </c>
      <c r="BJ24" s="209" t="s">
        <v>200</v>
      </c>
      <c r="BK24" s="181" t="s">
        <v>191</v>
      </c>
      <c r="BL24" s="241"/>
      <c r="BM24" s="201" t="s">
        <v>191</v>
      </c>
      <c r="BN24" s="241">
        <v>2</v>
      </c>
      <c r="BO24" s="181" t="s">
        <v>191</v>
      </c>
      <c r="BP24" s="181"/>
      <c r="BQ24" s="181" t="s">
        <v>192</v>
      </c>
      <c r="BR24" s="181"/>
      <c r="BS24" s="210">
        <f t="shared" si="9"/>
        <v>15663.699999999999</v>
      </c>
      <c r="BT24" s="211">
        <f t="shared" si="34"/>
        <v>1.1024324641611093E-2</v>
      </c>
      <c r="BU24" s="211">
        <v>2.9000000000000001E-2</v>
      </c>
      <c r="BV24" s="211">
        <v>6.825841485165433E-3</v>
      </c>
      <c r="BW24" s="211">
        <f t="shared" si="10"/>
        <v>15663.699999999999</v>
      </c>
      <c r="BX24" s="212">
        <f t="shared" si="35"/>
        <v>1</v>
      </c>
      <c r="BY24" s="213"/>
      <c r="BZ24" s="213"/>
      <c r="CA24" s="213">
        <v>1</v>
      </c>
      <c r="CB24" s="213"/>
      <c r="CC24" s="265"/>
      <c r="CD24" s="265"/>
      <c r="CE24" s="265"/>
      <c r="CF24" s="265"/>
      <c r="CG24" s="143"/>
      <c r="CH24" s="214">
        <f t="shared" si="36"/>
        <v>539334</v>
      </c>
      <c r="CI24" s="215">
        <f t="shared" si="11"/>
        <v>494234</v>
      </c>
      <c r="CJ24" s="215">
        <f t="shared" si="12"/>
        <v>3762</v>
      </c>
      <c r="CK24" s="215">
        <f t="shared" si="13"/>
        <v>30967</v>
      </c>
      <c r="CL24" s="215">
        <f t="shared" si="14"/>
        <v>26783</v>
      </c>
      <c r="CM24" s="215">
        <f t="shared" si="15"/>
        <v>204</v>
      </c>
      <c r="CN24" s="215">
        <f t="shared" si="16"/>
        <v>1678</v>
      </c>
      <c r="CO24" s="215"/>
      <c r="CP24" s="216">
        <f t="shared" si="37"/>
        <v>18294</v>
      </c>
      <c r="CQ24" s="214">
        <f t="shared" si="38"/>
        <v>547027.47</v>
      </c>
      <c r="CR24" s="217">
        <v>502484.75</v>
      </c>
      <c r="CS24" s="217">
        <v>11897.52</v>
      </c>
      <c r="CT24" s="217">
        <v>32645.200000000001</v>
      </c>
      <c r="CU24" s="214">
        <f t="shared" si="39"/>
        <v>46190.720000000001</v>
      </c>
      <c r="CV24" s="218">
        <v>44713.32</v>
      </c>
      <c r="CW24" s="218">
        <v>0</v>
      </c>
      <c r="CX24" s="218">
        <v>1477.4</v>
      </c>
      <c r="CY24" s="219">
        <f t="shared" si="40"/>
        <v>32645</v>
      </c>
      <c r="CZ24" s="219">
        <f t="shared" si="41"/>
        <v>-0.2000000000007276</v>
      </c>
      <c r="DA24" s="215">
        <f t="shared" si="42"/>
        <v>3981.61</v>
      </c>
      <c r="DB24" s="215">
        <f t="shared" si="43"/>
        <v>0</v>
      </c>
      <c r="DC24" s="215">
        <f t="shared" si="44"/>
        <v>0</v>
      </c>
      <c r="DD24" s="217">
        <v>3663.3</v>
      </c>
      <c r="DE24" s="217">
        <v>4.0999999999999996</v>
      </c>
      <c r="DF24" s="217">
        <v>241947.97</v>
      </c>
      <c r="DG24" s="217">
        <v>1583.94</v>
      </c>
      <c r="DH24" s="218">
        <v>325.13</v>
      </c>
      <c r="DI24" s="218">
        <v>1.63</v>
      </c>
      <c r="DJ24" s="218">
        <v>18122.12</v>
      </c>
      <c r="DK24" s="218">
        <v>140.33000000000001</v>
      </c>
      <c r="DL24" s="215">
        <f t="shared" si="17"/>
        <v>7180</v>
      </c>
      <c r="DM24" s="218">
        <f t="shared" si="18"/>
        <v>4856</v>
      </c>
      <c r="DN24" s="220"/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29309.71</v>
      </c>
      <c r="DV24" s="220">
        <v>2341.9899999999998</v>
      </c>
      <c r="DW24" s="220">
        <v>311878.63</v>
      </c>
      <c r="DX24" s="220">
        <v>27126.41</v>
      </c>
      <c r="DY24" s="214">
        <f t="shared" si="19"/>
        <v>784979.36800000002</v>
      </c>
      <c r="DZ24" s="221">
        <f t="shared" si="20"/>
        <v>64720</v>
      </c>
      <c r="EA24" s="222">
        <f t="shared" si="45"/>
        <v>57040.160000000003</v>
      </c>
      <c r="EB24" s="223">
        <f t="shared" si="46"/>
        <v>0.10576036370783226</v>
      </c>
      <c r="EC24" s="224">
        <f t="shared" si="47"/>
        <v>-245645.36800000002</v>
      </c>
      <c r="ED24" s="225">
        <f t="shared" si="55"/>
        <v>7441</v>
      </c>
      <c r="EE24" s="225">
        <f t="shared" si="55"/>
        <v>4696</v>
      </c>
      <c r="EF24" s="225">
        <f t="shared" si="55"/>
        <v>992</v>
      </c>
      <c r="EG24" s="225">
        <f t="shared" si="49"/>
        <v>89</v>
      </c>
      <c r="EH24" s="225">
        <v>1015</v>
      </c>
      <c r="EI24" s="226"/>
      <c r="EJ24" s="227">
        <v>9097</v>
      </c>
      <c r="EK24" s="227">
        <v>5764</v>
      </c>
      <c r="EL24" s="227">
        <v>7645</v>
      </c>
      <c r="EM24" s="227">
        <v>2997</v>
      </c>
      <c r="EN24" s="227">
        <v>1873</v>
      </c>
      <c r="EO24" s="227">
        <v>1441</v>
      </c>
      <c r="EP24" s="227">
        <v>2358</v>
      </c>
      <c r="EQ24" s="227">
        <v>1703</v>
      </c>
      <c r="ER24" s="227">
        <v>0</v>
      </c>
      <c r="ES24" s="225">
        <f t="shared" si="21"/>
        <v>32878</v>
      </c>
      <c r="ET24" s="225">
        <f t="shared" si="22"/>
        <v>9929.16</v>
      </c>
      <c r="EU24" s="226"/>
      <c r="EV24" s="228">
        <f t="shared" si="23"/>
        <v>3539.2079999999996</v>
      </c>
      <c r="EW24" s="229">
        <f t="shared" si="24"/>
        <v>20840</v>
      </c>
      <c r="EX24" s="229">
        <f t="shared" si="50"/>
        <v>5910</v>
      </c>
      <c r="EY24" s="229">
        <f t="shared" si="50"/>
        <v>41058</v>
      </c>
      <c r="EZ24" s="229">
        <f t="shared" si="50"/>
        <v>23795</v>
      </c>
      <c r="FA24" s="230">
        <f t="shared" si="26"/>
        <v>23596</v>
      </c>
      <c r="FB24" s="231">
        <f t="shared" si="27"/>
        <v>42131</v>
      </c>
      <c r="FC24" s="226"/>
      <c r="FD24" s="232">
        <f t="shared" si="51"/>
        <v>12000</v>
      </c>
      <c r="FE24" s="230">
        <f t="shared" si="28"/>
        <v>47100</v>
      </c>
      <c r="FF24" s="225">
        <v>400</v>
      </c>
      <c r="FG24" s="225">
        <f t="shared" si="29"/>
        <v>9420</v>
      </c>
      <c r="FH24" s="233">
        <v>0</v>
      </c>
      <c r="FI24" s="233">
        <f t="shared" si="60"/>
        <v>3360</v>
      </c>
      <c r="FJ24" s="233">
        <f t="shared" si="30"/>
        <v>0</v>
      </c>
      <c r="FK24" s="233">
        <f t="shared" si="31"/>
        <v>0</v>
      </c>
      <c r="FL24" s="225">
        <f t="shared" si="32"/>
        <v>24318</v>
      </c>
      <c r="FM24" s="225">
        <v>16600</v>
      </c>
      <c r="FN24" s="225">
        <v>55576</v>
      </c>
      <c r="FO24" s="225">
        <f t="shared" si="53"/>
        <v>55576</v>
      </c>
      <c r="FP24" s="232">
        <f t="shared" si="33"/>
        <v>36000</v>
      </c>
      <c r="FQ24" s="232"/>
      <c r="FR24" s="232">
        <v>0</v>
      </c>
      <c r="FS24" s="234"/>
      <c r="FT24" s="235">
        <v>47900</v>
      </c>
      <c r="FU24" s="235">
        <v>118820</v>
      </c>
      <c r="FV24" s="235">
        <v>140000</v>
      </c>
      <c r="FW24" s="232"/>
      <c r="FX24" s="232"/>
      <c r="FY24" s="232"/>
      <c r="FZ24" s="232"/>
    </row>
    <row r="25" spans="1:182" ht="35.25" customHeight="1" x14ac:dyDescent="0.3">
      <c r="A25" s="181" t="s">
        <v>194</v>
      </c>
      <c r="B25" s="181" t="s">
        <v>184</v>
      </c>
      <c r="C25" s="182" t="s">
        <v>206</v>
      </c>
      <c r="D25" s="183">
        <v>31.94</v>
      </c>
      <c r="E25" s="183"/>
      <c r="F25" s="183">
        <v>16.89</v>
      </c>
      <c r="G25" s="183">
        <v>1.83</v>
      </c>
      <c r="H25" s="183">
        <v>0.92</v>
      </c>
      <c r="I25" s="184"/>
      <c r="J25" s="183">
        <v>0.27</v>
      </c>
      <c r="K25" s="183">
        <v>0.04</v>
      </c>
      <c r="L25" s="183">
        <v>2.08</v>
      </c>
      <c r="M25" s="185">
        <v>1.25</v>
      </c>
      <c r="N25" s="186"/>
      <c r="O25" s="187">
        <v>14400</v>
      </c>
      <c r="P25" s="188">
        <v>8663</v>
      </c>
      <c r="Q25" s="187">
        <v>39251.97</v>
      </c>
      <c r="R25" s="188">
        <v>29384</v>
      </c>
      <c r="S25" s="187">
        <v>12992.579999999998</v>
      </c>
      <c r="T25" s="188">
        <v>6417</v>
      </c>
      <c r="U25" s="187">
        <v>9271.5</v>
      </c>
      <c r="V25" s="188">
        <v>6828</v>
      </c>
      <c r="W25" s="187">
        <v>0</v>
      </c>
      <c r="X25" s="188">
        <v>0</v>
      </c>
      <c r="Y25" s="189">
        <v>77808</v>
      </c>
      <c r="Z25" s="190">
        <v>18708.2</v>
      </c>
      <c r="AA25" s="191">
        <v>19183.599999999999</v>
      </c>
      <c r="AB25" s="192">
        <f t="shared" si="5"/>
        <v>13567.7</v>
      </c>
      <c r="AC25" s="193">
        <v>12512.7</v>
      </c>
      <c r="AD25" s="193">
        <v>316.89999999999998</v>
      </c>
      <c r="AE25" s="193">
        <v>738.1</v>
      </c>
      <c r="AF25" s="194">
        <v>2023.2</v>
      </c>
      <c r="AG25" s="195">
        <v>1008.4999999999998</v>
      </c>
      <c r="AH25" s="196">
        <v>3190</v>
      </c>
      <c r="AI25" s="196">
        <v>535</v>
      </c>
      <c r="AJ25" s="196">
        <v>1130</v>
      </c>
      <c r="AK25" s="197">
        <v>2016</v>
      </c>
      <c r="AL25" s="197">
        <v>303</v>
      </c>
      <c r="AM25" s="198">
        <v>303</v>
      </c>
      <c r="AN25" s="198"/>
      <c r="AO25" s="198">
        <v>196</v>
      </c>
      <c r="AP25" s="198"/>
      <c r="AQ25" s="199">
        <v>8</v>
      </c>
      <c r="AR25" s="200" t="s">
        <v>207</v>
      </c>
      <c r="AS25" s="201">
        <v>12</v>
      </c>
      <c r="AT25" s="202">
        <v>12</v>
      </c>
      <c r="AU25" s="203" t="s">
        <v>187</v>
      </c>
      <c r="AV25" s="203" t="s">
        <v>188</v>
      </c>
      <c r="AW25" s="204">
        <f t="shared" si="6"/>
        <v>3</v>
      </c>
      <c r="AX25" s="205">
        <f t="shared" si="7"/>
        <v>1008.4999999999998</v>
      </c>
      <c r="AY25" s="205">
        <f t="shared" si="59"/>
        <v>1512.8</v>
      </c>
      <c r="AZ25" s="205">
        <f t="shared" si="8"/>
        <v>4426.8999999999996</v>
      </c>
      <c r="BA25" s="206"/>
      <c r="BB25" s="206"/>
      <c r="BC25" s="207"/>
      <c r="BD25" s="208" t="s">
        <v>189</v>
      </c>
      <c r="BE25" s="208" t="s">
        <v>189</v>
      </c>
      <c r="BF25" s="208" t="s">
        <v>189</v>
      </c>
      <c r="BG25" s="208" t="s">
        <v>189</v>
      </c>
      <c r="BH25" s="207" t="s">
        <v>190</v>
      </c>
      <c r="BI25" s="209" t="s">
        <v>190</v>
      </c>
      <c r="BJ25" s="209" t="s">
        <v>200</v>
      </c>
      <c r="BK25" s="181" t="s">
        <v>191</v>
      </c>
      <c r="BL25" s="181">
        <v>3</v>
      </c>
      <c r="BM25" s="201" t="s">
        <v>191</v>
      </c>
      <c r="BN25" s="241">
        <v>2</v>
      </c>
      <c r="BO25" s="181" t="s">
        <v>191</v>
      </c>
      <c r="BP25" s="181"/>
      <c r="BQ25" s="181" t="s">
        <v>192</v>
      </c>
      <c r="BR25" s="181"/>
      <c r="BS25" s="210">
        <f t="shared" si="9"/>
        <v>13567.7</v>
      </c>
      <c r="BT25" s="211">
        <f t="shared" si="34"/>
        <v>8.5942182559668623E-2</v>
      </c>
      <c r="BU25" s="211">
        <v>2.5000000000000001E-2</v>
      </c>
      <c r="BV25" s="211">
        <v>1.7869297492674557E-2</v>
      </c>
      <c r="BW25" s="211">
        <f t="shared" si="10"/>
        <v>122109.3</v>
      </c>
      <c r="BX25" s="212">
        <f t="shared" si="35"/>
        <v>9</v>
      </c>
      <c r="BY25" s="213">
        <v>3</v>
      </c>
      <c r="BZ25" s="213">
        <v>3</v>
      </c>
      <c r="CA25" s="213">
        <v>3</v>
      </c>
      <c r="CB25" s="213"/>
      <c r="CC25" s="266"/>
      <c r="CD25" s="266"/>
      <c r="CE25" s="266"/>
      <c r="CF25" s="266"/>
      <c r="CG25" s="185"/>
      <c r="CH25" s="214">
        <f t="shared" si="36"/>
        <v>3876841</v>
      </c>
      <c r="CI25" s="215">
        <f t="shared" si="11"/>
        <v>3596901</v>
      </c>
      <c r="CJ25" s="215">
        <f t="shared" si="12"/>
        <v>91096</v>
      </c>
      <c r="CK25" s="215">
        <f t="shared" si="13"/>
        <v>112199</v>
      </c>
      <c r="CL25" s="215">
        <f t="shared" si="14"/>
        <v>206084</v>
      </c>
      <c r="CM25" s="215">
        <f t="shared" si="15"/>
        <v>5219</v>
      </c>
      <c r="CN25" s="215">
        <f t="shared" si="16"/>
        <v>6111</v>
      </c>
      <c r="CO25" s="215"/>
      <c r="CP25" s="216">
        <f t="shared" si="37"/>
        <v>140769</v>
      </c>
      <c r="CQ25" s="214">
        <f t="shared" si="38"/>
        <v>3873902.0869999998</v>
      </c>
      <c r="CR25" s="217">
        <v>3665386.28</v>
      </c>
      <c r="CS25" s="217">
        <v>96315.417000000001</v>
      </c>
      <c r="CT25" s="217">
        <v>112200.39</v>
      </c>
      <c r="CU25" s="214">
        <f t="shared" si="39"/>
        <v>3067890.3299999991</v>
      </c>
      <c r="CV25" s="218">
        <v>2945027.7799999993</v>
      </c>
      <c r="CW25" s="218">
        <v>64210.32</v>
      </c>
      <c r="CX25" s="218">
        <v>58652.23</v>
      </c>
      <c r="CY25" s="219">
        <f t="shared" si="40"/>
        <v>118310</v>
      </c>
      <c r="CZ25" s="219">
        <f t="shared" si="41"/>
        <v>6109.6100000000006</v>
      </c>
      <c r="DA25" s="215">
        <f t="shared" si="42"/>
        <v>31175.909999999996</v>
      </c>
      <c r="DB25" s="215">
        <f t="shared" si="43"/>
        <v>126.60000000000001</v>
      </c>
      <c r="DC25" s="215">
        <f t="shared" si="44"/>
        <v>17230.5</v>
      </c>
      <c r="DD25" s="217">
        <v>29843.34</v>
      </c>
      <c r="DE25" s="217">
        <v>111.81</v>
      </c>
      <c r="DF25" s="217">
        <v>382747.05</v>
      </c>
      <c r="DG25" s="217">
        <v>13146.63</v>
      </c>
      <c r="DH25" s="218">
        <v>23424.34</v>
      </c>
      <c r="DI25" s="218">
        <v>98.56</v>
      </c>
      <c r="DJ25" s="218">
        <v>299828.05</v>
      </c>
      <c r="DK25" s="218">
        <v>10351.91</v>
      </c>
      <c r="DL25" s="215">
        <f t="shared" si="17"/>
        <v>75916.05</v>
      </c>
      <c r="DM25" s="218">
        <f t="shared" si="18"/>
        <v>51292</v>
      </c>
      <c r="DN25" s="220">
        <v>0</v>
      </c>
      <c r="DO25" s="220">
        <v>0</v>
      </c>
      <c r="DP25" s="220">
        <v>0</v>
      </c>
      <c r="DQ25" s="220">
        <v>1190.96</v>
      </c>
      <c r="DR25" s="220">
        <v>547.23</v>
      </c>
      <c r="DS25" s="220">
        <v>0</v>
      </c>
      <c r="DT25" s="220">
        <v>0</v>
      </c>
      <c r="DU25" s="220">
        <v>213019.7</v>
      </c>
      <c r="DV25" s="220">
        <v>169140.41</v>
      </c>
      <c r="DW25" s="220">
        <v>4823810.97</v>
      </c>
      <c r="DX25" s="220">
        <v>4137400.83</v>
      </c>
      <c r="DY25" s="214">
        <f t="shared" si="19"/>
        <v>6264569.5959999999</v>
      </c>
      <c r="DZ25" s="221">
        <f t="shared" si="20"/>
        <v>465221</v>
      </c>
      <c r="EA25" s="222">
        <f t="shared" si="45"/>
        <v>1427955.07</v>
      </c>
      <c r="EB25" s="223">
        <f t="shared" si="46"/>
        <v>0.36832954201629625</v>
      </c>
      <c r="EC25" s="224">
        <f t="shared" si="47"/>
        <v>-2387728.5959999999</v>
      </c>
      <c r="ED25" s="225">
        <f t="shared" si="55"/>
        <v>58011</v>
      </c>
      <c r="EE25" s="225">
        <f t="shared" si="55"/>
        <v>36611</v>
      </c>
      <c r="EF25" s="225">
        <f t="shared" si="55"/>
        <v>7735</v>
      </c>
      <c r="EG25" s="225">
        <f t="shared" si="49"/>
        <v>696</v>
      </c>
      <c r="EH25" s="225">
        <v>7295</v>
      </c>
      <c r="EI25" s="226"/>
      <c r="EJ25" s="227">
        <v>31110</v>
      </c>
      <c r="EK25" s="227">
        <v>19712</v>
      </c>
      <c r="EL25" s="227">
        <v>26150</v>
      </c>
      <c r="EM25" s="227">
        <v>10250</v>
      </c>
      <c r="EN25" s="227">
        <v>6405</v>
      </c>
      <c r="EO25" s="227">
        <v>4928</v>
      </c>
      <c r="EP25" s="227">
        <v>8064</v>
      </c>
      <c r="EQ25" s="227">
        <v>5824</v>
      </c>
      <c r="ER25" s="227">
        <v>0</v>
      </c>
      <c r="ES25" s="225">
        <f t="shared" si="21"/>
        <v>1011987</v>
      </c>
      <c r="ET25" s="225">
        <f t="shared" si="22"/>
        <v>305620.07</v>
      </c>
      <c r="EU25" s="226"/>
      <c r="EV25" s="228">
        <f t="shared" si="23"/>
        <v>27711.935999999998</v>
      </c>
      <c r="EW25" s="229">
        <f t="shared" si="24"/>
        <v>159805</v>
      </c>
      <c r="EX25" s="229">
        <f t="shared" si="50"/>
        <v>45318</v>
      </c>
      <c r="EY25" s="229">
        <f t="shared" si="50"/>
        <v>314839</v>
      </c>
      <c r="EZ25" s="229">
        <f t="shared" si="50"/>
        <v>182464</v>
      </c>
      <c r="FA25" s="230">
        <f t="shared" si="26"/>
        <v>129081</v>
      </c>
      <c r="FB25" s="231">
        <f t="shared" si="27"/>
        <v>110294</v>
      </c>
      <c r="FC25" s="226"/>
      <c r="FD25" s="232">
        <f t="shared" si="51"/>
        <v>108000</v>
      </c>
      <c r="FE25" s="230">
        <f t="shared" si="28"/>
        <v>45450</v>
      </c>
      <c r="FF25" s="225">
        <v>5750</v>
      </c>
      <c r="FG25" s="225">
        <f t="shared" si="29"/>
        <v>81810</v>
      </c>
      <c r="FH25" s="233">
        <v>21732</v>
      </c>
      <c r="FI25" s="233">
        <f t="shared" si="60"/>
        <v>34560</v>
      </c>
      <c r="FJ25" s="233">
        <f t="shared" si="30"/>
        <v>0</v>
      </c>
      <c r="FK25" s="233">
        <f t="shared" si="31"/>
        <v>0</v>
      </c>
      <c r="FL25" s="225">
        <f t="shared" si="32"/>
        <v>19184</v>
      </c>
      <c r="FM25" s="225">
        <v>152964</v>
      </c>
      <c r="FN25" s="225">
        <v>500180</v>
      </c>
      <c r="FO25" s="224">
        <f>+FN25-747</f>
        <v>499433</v>
      </c>
      <c r="FP25" s="232">
        <f t="shared" si="33"/>
        <v>36000</v>
      </c>
      <c r="FQ25" s="232">
        <v>36000</v>
      </c>
      <c r="FR25" s="232">
        <v>3370</v>
      </c>
      <c r="FS25" s="234"/>
      <c r="FT25" s="235">
        <v>435819.58999999997</v>
      </c>
      <c r="FU25" s="235">
        <v>885626</v>
      </c>
      <c r="FV25" s="235">
        <v>1001223</v>
      </c>
      <c r="FW25" s="232">
        <v>84</v>
      </c>
      <c r="FX25" s="232">
        <v>16</v>
      </c>
      <c r="FY25" s="232">
        <v>232712.56</v>
      </c>
      <c r="FZ25" s="232"/>
    </row>
    <row r="26" spans="1:182" ht="35.25" customHeight="1" x14ac:dyDescent="0.3">
      <c r="A26" s="181" t="s">
        <v>194</v>
      </c>
      <c r="B26" s="181" t="s">
        <v>184</v>
      </c>
      <c r="C26" s="182" t="s">
        <v>208</v>
      </c>
      <c r="D26" s="183">
        <v>31.94</v>
      </c>
      <c r="E26" s="183"/>
      <c r="F26" s="183">
        <v>17.34</v>
      </c>
      <c r="G26" s="183">
        <v>2.78</v>
      </c>
      <c r="H26" s="183">
        <v>1.39</v>
      </c>
      <c r="I26" s="184"/>
      <c r="J26" s="183">
        <v>0.27</v>
      </c>
      <c r="K26" s="183">
        <v>0.04</v>
      </c>
      <c r="L26" s="183">
        <v>2.08</v>
      </c>
      <c r="M26" s="185">
        <v>1.25</v>
      </c>
      <c r="N26" s="186"/>
      <c r="O26" s="187">
        <v>14400</v>
      </c>
      <c r="P26" s="188">
        <v>8663</v>
      </c>
      <c r="Q26" s="187">
        <v>41411.97</v>
      </c>
      <c r="R26" s="188">
        <v>31001</v>
      </c>
      <c r="S26" s="187">
        <v>14121.960000000001</v>
      </c>
      <c r="T26" s="188">
        <v>6975</v>
      </c>
      <c r="U26" s="187">
        <v>12601.500000000002</v>
      </c>
      <c r="V26" s="188">
        <v>9280</v>
      </c>
      <c r="W26" s="187">
        <v>0</v>
      </c>
      <c r="X26" s="188">
        <v>0</v>
      </c>
      <c r="Y26" s="189">
        <v>85897</v>
      </c>
      <c r="Z26" s="190">
        <v>20364.7</v>
      </c>
      <c r="AA26" s="191">
        <v>20990</v>
      </c>
      <c r="AB26" s="192">
        <f t="shared" si="5"/>
        <v>14830.3</v>
      </c>
      <c r="AC26" s="193">
        <v>13948</v>
      </c>
      <c r="AD26" s="193">
        <v>33.5</v>
      </c>
      <c r="AE26" s="193">
        <v>848.8</v>
      </c>
      <c r="AF26" s="194">
        <v>2079.1</v>
      </c>
      <c r="AG26" s="195">
        <v>2338.8999999999996</v>
      </c>
      <c r="AH26" s="196">
        <v>1750</v>
      </c>
      <c r="AI26" s="196">
        <v>3220</v>
      </c>
      <c r="AJ26" s="196">
        <v>2010</v>
      </c>
      <c r="AK26" s="197">
        <v>2016</v>
      </c>
      <c r="AL26" s="197">
        <v>321</v>
      </c>
      <c r="AM26" s="198">
        <v>321</v>
      </c>
      <c r="AN26" s="198"/>
      <c r="AO26" s="198">
        <v>226</v>
      </c>
      <c r="AP26" s="198"/>
      <c r="AQ26" s="199">
        <v>8</v>
      </c>
      <c r="AR26" s="200" t="s">
        <v>209</v>
      </c>
      <c r="AS26" s="201">
        <v>12</v>
      </c>
      <c r="AT26" s="202">
        <v>12</v>
      </c>
      <c r="AU26" s="203" t="s">
        <v>187</v>
      </c>
      <c r="AV26" s="203" t="s">
        <v>188</v>
      </c>
      <c r="AW26" s="204">
        <f t="shared" si="6"/>
        <v>3</v>
      </c>
      <c r="AX26" s="205">
        <f t="shared" si="7"/>
        <v>2338.8999999999996</v>
      </c>
      <c r="AY26" s="205">
        <f t="shared" si="59"/>
        <v>3508.4</v>
      </c>
      <c r="AZ26" s="205">
        <f t="shared" si="8"/>
        <v>4508.5</v>
      </c>
      <c r="BA26" s="206"/>
      <c r="BB26" s="206"/>
      <c r="BC26" s="207"/>
      <c r="BD26" s="208" t="s">
        <v>189</v>
      </c>
      <c r="BE26" s="208" t="s">
        <v>189</v>
      </c>
      <c r="BF26" s="208" t="s">
        <v>189</v>
      </c>
      <c r="BG26" s="208" t="s">
        <v>189</v>
      </c>
      <c r="BH26" s="207" t="s">
        <v>190</v>
      </c>
      <c r="BI26" s="209" t="s">
        <v>190</v>
      </c>
      <c r="BJ26" s="209" t="s">
        <v>200</v>
      </c>
      <c r="BK26" s="181" t="s">
        <v>191</v>
      </c>
      <c r="BL26" s="181">
        <v>3</v>
      </c>
      <c r="BM26" s="201" t="s">
        <v>191</v>
      </c>
      <c r="BN26" s="181">
        <v>2</v>
      </c>
      <c r="BO26" s="181" t="s">
        <v>191</v>
      </c>
      <c r="BP26" s="181"/>
      <c r="BQ26" s="181" t="s">
        <v>192</v>
      </c>
      <c r="BR26" s="181"/>
      <c r="BS26" s="210">
        <f t="shared" si="9"/>
        <v>14830.3</v>
      </c>
      <c r="BT26" s="211">
        <f t="shared" si="34"/>
        <v>9.3939897699289746E-2</v>
      </c>
      <c r="BU26" s="211">
        <v>2.8000000000000001E-2</v>
      </c>
      <c r="BV26" s="211">
        <v>1.9516078987147346E-2</v>
      </c>
      <c r="BW26" s="211">
        <f t="shared" si="10"/>
        <v>133472.69999999998</v>
      </c>
      <c r="BX26" s="212">
        <f t="shared" si="35"/>
        <v>9</v>
      </c>
      <c r="BY26" s="213">
        <v>3</v>
      </c>
      <c r="BZ26" s="213">
        <v>3</v>
      </c>
      <c r="CA26" s="213">
        <v>3</v>
      </c>
      <c r="CB26" s="213"/>
      <c r="CC26" s="266">
        <v>25.26</v>
      </c>
      <c r="CD26" s="266"/>
      <c r="CE26" s="266"/>
      <c r="CF26" s="266"/>
      <c r="CG26" s="185"/>
      <c r="CH26" s="214">
        <f t="shared" si="36"/>
        <v>4355106</v>
      </c>
      <c r="CI26" s="215">
        <f t="shared" si="11"/>
        <v>4009492</v>
      </c>
      <c r="CJ26" s="215">
        <f t="shared" si="12"/>
        <v>9630</v>
      </c>
      <c r="CK26" s="215">
        <f t="shared" si="13"/>
        <v>132464</v>
      </c>
      <c r="CL26" s="215">
        <f t="shared" si="14"/>
        <v>348979</v>
      </c>
      <c r="CM26" s="215">
        <f t="shared" si="15"/>
        <v>838</v>
      </c>
      <c r="CN26" s="215">
        <f t="shared" si="16"/>
        <v>10618</v>
      </c>
      <c r="CO26" s="215"/>
      <c r="CP26" s="216">
        <f t="shared" si="37"/>
        <v>156915</v>
      </c>
      <c r="CQ26" s="214">
        <f t="shared" si="38"/>
        <v>4330619.76</v>
      </c>
      <c r="CR26" s="217">
        <v>4187719.05</v>
      </c>
      <c r="CS26" s="217">
        <v>10468.079999999998</v>
      </c>
      <c r="CT26" s="217">
        <v>132432.63</v>
      </c>
      <c r="CU26" s="214">
        <f t="shared" si="39"/>
        <v>3614416.1899999976</v>
      </c>
      <c r="CV26" s="218">
        <v>3536309.4399999976</v>
      </c>
      <c r="CW26" s="218">
        <v>0</v>
      </c>
      <c r="CX26" s="218">
        <v>78106.75</v>
      </c>
      <c r="CY26" s="219">
        <f t="shared" si="40"/>
        <v>143082</v>
      </c>
      <c r="CZ26" s="219">
        <f t="shared" si="41"/>
        <v>10649.369999999995</v>
      </c>
      <c r="DA26" s="215">
        <f t="shared" si="42"/>
        <v>33975.090000000004</v>
      </c>
      <c r="DB26" s="215">
        <f t="shared" si="43"/>
        <v>105.87</v>
      </c>
      <c r="DC26" s="215">
        <f t="shared" si="44"/>
        <v>18270.09</v>
      </c>
      <c r="DD26" s="217">
        <v>33211.9</v>
      </c>
      <c r="DE26" s="217">
        <v>12.03</v>
      </c>
      <c r="DF26" s="217">
        <v>425730.6</v>
      </c>
      <c r="DG26" s="217">
        <v>14624.67</v>
      </c>
      <c r="DH26" s="218">
        <v>27369.14</v>
      </c>
      <c r="DI26" s="218">
        <v>0</v>
      </c>
      <c r="DJ26" s="218">
        <v>350360.8</v>
      </c>
      <c r="DK26" s="218">
        <v>12098.31</v>
      </c>
      <c r="DL26" s="215">
        <f t="shared" si="17"/>
        <v>82535.430000000008</v>
      </c>
      <c r="DM26" s="218">
        <f t="shared" si="18"/>
        <v>55919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v>222126.12</v>
      </c>
      <c r="DV26" s="220">
        <v>184016.98</v>
      </c>
      <c r="DW26" s="220">
        <v>4719389.6900000004</v>
      </c>
      <c r="DX26" s="220">
        <v>4243837.0999999996</v>
      </c>
      <c r="DY26" s="214">
        <f t="shared" si="19"/>
        <v>6825518.5199999996</v>
      </c>
      <c r="DZ26" s="221">
        <f t="shared" si="20"/>
        <v>522613</v>
      </c>
      <c r="EA26" s="222">
        <f t="shared" si="45"/>
        <v>1553812.76</v>
      </c>
      <c r="EB26" s="223">
        <f t="shared" si="46"/>
        <v>0.35677955025664126</v>
      </c>
      <c r="EC26" s="224">
        <f t="shared" si="47"/>
        <v>-2470412.5199999996</v>
      </c>
      <c r="ED26" s="225">
        <f t="shared" si="55"/>
        <v>63409</v>
      </c>
      <c r="EE26" s="225">
        <f t="shared" si="55"/>
        <v>40018</v>
      </c>
      <c r="EF26" s="225">
        <f t="shared" si="55"/>
        <v>8455</v>
      </c>
      <c r="EG26" s="225">
        <f t="shared" si="49"/>
        <v>761</v>
      </c>
      <c r="EH26" s="225">
        <v>7367</v>
      </c>
      <c r="EI26" s="226"/>
      <c r="EJ26" s="227">
        <v>33851</v>
      </c>
      <c r="EK26" s="227">
        <v>21450</v>
      </c>
      <c r="EL26" s="227">
        <v>28457</v>
      </c>
      <c r="EM26" s="227">
        <v>11155</v>
      </c>
      <c r="EN26" s="227">
        <v>6970</v>
      </c>
      <c r="EO26" s="227">
        <v>5363</v>
      </c>
      <c r="EP26" s="227">
        <v>8775</v>
      </c>
      <c r="EQ26" s="227">
        <v>6338</v>
      </c>
      <c r="ER26" s="227">
        <v>0</v>
      </c>
      <c r="ES26" s="225">
        <f t="shared" si="21"/>
        <v>1101231</v>
      </c>
      <c r="ET26" s="225">
        <f t="shared" si="22"/>
        <v>332571.76</v>
      </c>
      <c r="EU26" s="226"/>
      <c r="EV26" s="228">
        <f t="shared" si="23"/>
        <v>30200.04</v>
      </c>
      <c r="EW26" s="229">
        <f t="shared" si="24"/>
        <v>178449</v>
      </c>
      <c r="EX26" s="229">
        <f t="shared" si="50"/>
        <v>50605</v>
      </c>
      <c r="EY26" s="229">
        <f t="shared" si="50"/>
        <v>351572</v>
      </c>
      <c r="EZ26" s="229">
        <f t="shared" si="50"/>
        <v>203752</v>
      </c>
      <c r="FA26" s="230">
        <f t="shared" si="26"/>
        <v>144861</v>
      </c>
      <c r="FB26" s="231">
        <f t="shared" si="27"/>
        <v>120458</v>
      </c>
      <c r="FC26" s="226"/>
      <c r="FD26" s="232">
        <f t="shared" si="51"/>
        <v>108000</v>
      </c>
      <c r="FE26" s="230">
        <f t="shared" si="28"/>
        <v>48150</v>
      </c>
      <c r="FF26" s="225">
        <v>6100</v>
      </c>
      <c r="FG26" s="225">
        <f t="shared" si="29"/>
        <v>86670</v>
      </c>
      <c r="FH26" s="233">
        <v>22989</v>
      </c>
      <c r="FI26" s="233">
        <f t="shared" si="60"/>
        <v>34560</v>
      </c>
      <c r="FJ26" s="233">
        <f t="shared" si="30"/>
        <v>0</v>
      </c>
      <c r="FK26" s="233">
        <f t="shared" si="31"/>
        <v>0</v>
      </c>
      <c r="FL26" s="225">
        <f t="shared" si="32"/>
        <v>20990</v>
      </c>
      <c r="FM26" s="225">
        <v>152964</v>
      </c>
      <c r="FN26" s="225">
        <v>500180</v>
      </c>
      <c r="FO26" s="225">
        <f t="shared" si="53"/>
        <v>500180</v>
      </c>
      <c r="FP26" s="232">
        <f t="shared" si="33"/>
        <v>36000</v>
      </c>
      <c r="FQ26" s="232"/>
      <c r="FR26" s="232">
        <v>3370</v>
      </c>
      <c r="FS26" s="234"/>
      <c r="FT26" s="235">
        <v>464930.72</v>
      </c>
      <c r="FU26" s="235">
        <v>977154</v>
      </c>
      <c r="FV26" s="235">
        <v>1229571</v>
      </c>
      <c r="FW26" s="232">
        <v>62</v>
      </c>
      <c r="FX26" s="232">
        <v>13</v>
      </c>
      <c r="FY26" s="232">
        <v>241849.94</v>
      </c>
      <c r="FZ26" s="232"/>
    </row>
    <row r="27" spans="1:182" ht="35.25" customHeight="1" x14ac:dyDescent="0.3">
      <c r="A27" s="181" t="s">
        <v>194</v>
      </c>
      <c r="B27" s="181" t="s">
        <v>184</v>
      </c>
      <c r="C27" s="182" t="s">
        <v>210</v>
      </c>
      <c r="D27" s="183">
        <v>32.71</v>
      </c>
      <c r="E27" s="183"/>
      <c r="F27" s="183">
        <v>16.89</v>
      </c>
      <c r="G27" s="183">
        <v>1.83</v>
      </c>
      <c r="H27" s="183">
        <v>0.92</v>
      </c>
      <c r="I27" s="184"/>
      <c r="J27" s="183">
        <v>0.27</v>
      </c>
      <c r="K27" s="183">
        <v>0.04</v>
      </c>
      <c r="L27" s="183">
        <v>2.08</v>
      </c>
      <c r="M27" s="185">
        <v>1.25</v>
      </c>
      <c r="N27" s="186"/>
      <c r="O27" s="187">
        <v>14400</v>
      </c>
      <c r="P27" s="188">
        <v>8663</v>
      </c>
      <c r="Q27" s="187">
        <v>32840.400000000001</v>
      </c>
      <c r="R27" s="188">
        <v>24584</v>
      </c>
      <c r="S27" s="187">
        <v>27777.629999999997</v>
      </c>
      <c r="T27" s="188">
        <v>13719</v>
      </c>
      <c r="U27" s="187">
        <v>24748.799999999996</v>
      </c>
      <c r="V27" s="188">
        <v>18226</v>
      </c>
      <c r="W27" s="187">
        <v>0</v>
      </c>
      <c r="X27" s="188">
        <v>0</v>
      </c>
      <c r="Y27" s="189">
        <v>96372</v>
      </c>
      <c r="Z27" s="190">
        <f t="shared" si="58"/>
        <v>23595.7</v>
      </c>
      <c r="AA27" s="191">
        <v>23595.7</v>
      </c>
      <c r="AB27" s="192">
        <f t="shared" si="5"/>
        <v>17578.8</v>
      </c>
      <c r="AC27" s="193">
        <v>16346.5</v>
      </c>
      <c r="AD27" s="193">
        <v>107.1</v>
      </c>
      <c r="AE27" s="193">
        <v>1125.2</v>
      </c>
      <c r="AF27" s="194">
        <v>2329</v>
      </c>
      <c r="AG27" s="195">
        <v>600</v>
      </c>
      <c r="AH27" s="196">
        <v>3225</v>
      </c>
      <c r="AI27" s="196">
        <v>1190</v>
      </c>
      <c r="AJ27" s="196">
        <v>2350</v>
      </c>
      <c r="AK27" s="197">
        <v>2016</v>
      </c>
      <c r="AL27" s="197">
        <v>420</v>
      </c>
      <c r="AM27" s="198">
        <v>420</v>
      </c>
      <c r="AN27" s="198"/>
      <c r="AO27" s="198">
        <v>291</v>
      </c>
      <c r="AP27" s="198"/>
      <c r="AQ27" s="199">
        <v>8</v>
      </c>
      <c r="AR27" s="200" t="s">
        <v>211</v>
      </c>
      <c r="AS27" s="201">
        <v>13</v>
      </c>
      <c r="AT27" s="202">
        <v>13</v>
      </c>
      <c r="AU27" s="203" t="s">
        <v>187</v>
      </c>
      <c r="AV27" s="203" t="s">
        <v>188</v>
      </c>
      <c r="AW27" s="204">
        <f t="shared" si="6"/>
        <v>3</v>
      </c>
      <c r="AX27" s="205">
        <f t="shared" si="7"/>
        <v>600</v>
      </c>
      <c r="AY27" s="205">
        <f t="shared" si="59"/>
        <v>900</v>
      </c>
      <c r="AZ27" s="205">
        <f t="shared" si="8"/>
        <v>5750.9</v>
      </c>
      <c r="BA27" s="206"/>
      <c r="BB27" s="206"/>
      <c r="BC27" s="207"/>
      <c r="BD27" s="208" t="s">
        <v>189</v>
      </c>
      <c r="BE27" s="208" t="s">
        <v>189</v>
      </c>
      <c r="BF27" s="208" t="s">
        <v>189</v>
      </c>
      <c r="BG27" s="208" t="s">
        <v>189</v>
      </c>
      <c r="BH27" s="207" t="s">
        <v>190</v>
      </c>
      <c r="BI27" s="209" t="s">
        <v>190</v>
      </c>
      <c r="BJ27" s="209" t="s">
        <v>200</v>
      </c>
      <c r="BK27" s="181" t="s">
        <v>191</v>
      </c>
      <c r="BL27" s="181">
        <v>4</v>
      </c>
      <c r="BM27" s="201" t="s">
        <v>191</v>
      </c>
      <c r="BN27" s="241">
        <v>2</v>
      </c>
      <c r="BO27" s="181" t="s">
        <v>191</v>
      </c>
      <c r="BP27" s="181"/>
      <c r="BQ27" s="181" t="s">
        <v>192</v>
      </c>
      <c r="BR27" s="181"/>
      <c r="BS27" s="210">
        <f t="shared" si="9"/>
        <v>17578.8</v>
      </c>
      <c r="BT27" s="211">
        <f t="shared" si="34"/>
        <v>0.11134978211339451</v>
      </c>
      <c r="BU27" s="211">
        <v>3.3000000000000002E-2</v>
      </c>
      <c r="BV27" s="211">
        <v>2.3108135111774539E-2</v>
      </c>
      <c r="BW27" s="211">
        <f t="shared" si="10"/>
        <v>158209.19999999998</v>
      </c>
      <c r="BX27" s="212">
        <f t="shared" si="35"/>
        <v>9</v>
      </c>
      <c r="BY27" s="213">
        <v>3</v>
      </c>
      <c r="BZ27" s="213">
        <v>3</v>
      </c>
      <c r="CA27" s="213">
        <v>3</v>
      </c>
      <c r="CB27" s="213"/>
      <c r="CC27" s="266">
        <v>25.26</v>
      </c>
      <c r="CD27" s="266"/>
      <c r="CE27" s="266"/>
      <c r="CF27" s="266"/>
      <c r="CG27" s="185"/>
      <c r="CH27" s="214">
        <f t="shared" si="36"/>
        <v>5111228</v>
      </c>
      <c r="CI27" s="215">
        <f t="shared" si="11"/>
        <v>4812246</v>
      </c>
      <c r="CJ27" s="215">
        <f t="shared" si="12"/>
        <v>31529</v>
      </c>
      <c r="CK27" s="215">
        <f t="shared" si="13"/>
        <v>171042</v>
      </c>
      <c r="CL27" s="215">
        <f t="shared" si="14"/>
        <v>269227</v>
      </c>
      <c r="CM27" s="215">
        <f t="shared" si="15"/>
        <v>1764</v>
      </c>
      <c r="CN27" s="215">
        <f t="shared" si="16"/>
        <v>9317</v>
      </c>
      <c r="CO27" s="215"/>
      <c r="CP27" s="216">
        <f t="shared" si="37"/>
        <v>183897</v>
      </c>
      <c r="CQ27" s="214">
        <f t="shared" si="38"/>
        <v>5086643.3459999999</v>
      </c>
      <c r="CR27" s="217">
        <v>4886652.78</v>
      </c>
      <c r="CS27" s="217">
        <v>33293.106</v>
      </c>
      <c r="CT27" s="217">
        <v>166697.46</v>
      </c>
      <c r="CU27" s="214">
        <f t="shared" si="39"/>
        <v>4184058.6099999961</v>
      </c>
      <c r="CV27" s="218">
        <v>4078875.8799999962</v>
      </c>
      <c r="CW27" s="218">
        <v>26669.93</v>
      </c>
      <c r="CX27" s="218">
        <v>78512.800000000003</v>
      </c>
      <c r="CY27" s="219">
        <f t="shared" si="40"/>
        <v>180359</v>
      </c>
      <c r="CZ27" s="219">
        <f t="shared" si="41"/>
        <v>13661.540000000008</v>
      </c>
      <c r="DA27" s="215">
        <f t="shared" si="42"/>
        <v>39982.230000000003</v>
      </c>
      <c r="DB27" s="215">
        <f t="shared" si="43"/>
        <v>147.87</v>
      </c>
      <c r="DC27" s="215">
        <f t="shared" si="44"/>
        <v>21554.22</v>
      </c>
      <c r="DD27" s="217">
        <v>37756.800000000003</v>
      </c>
      <c r="DE27" s="217">
        <v>36.99</v>
      </c>
      <c r="DF27" s="217">
        <v>483814.44</v>
      </c>
      <c r="DG27" s="217">
        <v>16618.32</v>
      </c>
      <c r="DH27" s="218">
        <v>30676.45</v>
      </c>
      <c r="DI27" s="218">
        <v>48.86</v>
      </c>
      <c r="DJ27" s="218">
        <v>392399.79</v>
      </c>
      <c r="DK27" s="218">
        <v>13546.2</v>
      </c>
      <c r="DL27" s="215">
        <f t="shared" si="17"/>
        <v>99766.829999999987</v>
      </c>
      <c r="DM27" s="218">
        <f t="shared" si="18"/>
        <v>65192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276605.82</v>
      </c>
      <c r="DV27" s="220">
        <v>225608.45</v>
      </c>
      <c r="DW27" s="220">
        <v>6227441.0199999996</v>
      </c>
      <c r="DX27" s="220">
        <v>5450116.7400000002</v>
      </c>
      <c r="DY27" s="214">
        <f t="shared" si="19"/>
        <v>8389546.1860000007</v>
      </c>
      <c r="DZ27" s="221">
        <f t="shared" si="20"/>
        <v>613347</v>
      </c>
      <c r="EA27" s="222">
        <f t="shared" si="45"/>
        <v>1803833.58</v>
      </c>
      <c r="EB27" s="223">
        <f t="shared" si="46"/>
        <v>0.35291589027137904</v>
      </c>
      <c r="EC27" s="224">
        <f t="shared" si="47"/>
        <v>-3278318.1860000007</v>
      </c>
      <c r="ED27" s="225">
        <f t="shared" si="55"/>
        <v>75161</v>
      </c>
      <c r="EE27" s="225">
        <f t="shared" si="55"/>
        <v>47435</v>
      </c>
      <c r="EF27" s="225">
        <f t="shared" si="55"/>
        <v>10021</v>
      </c>
      <c r="EG27" s="225">
        <f t="shared" si="49"/>
        <v>902</v>
      </c>
      <c r="EH27" s="225">
        <v>8585</v>
      </c>
      <c r="EI27" s="226"/>
      <c r="EJ27" s="227">
        <v>39235</v>
      </c>
      <c r="EK27" s="227">
        <v>24860</v>
      </c>
      <c r="EL27" s="227">
        <v>32980</v>
      </c>
      <c r="EM27" s="227">
        <v>12927</v>
      </c>
      <c r="EN27" s="227">
        <v>8078</v>
      </c>
      <c r="EO27" s="227">
        <v>6215</v>
      </c>
      <c r="EP27" s="227">
        <v>10170</v>
      </c>
      <c r="EQ27" s="227">
        <v>7345</v>
      </c>
      <c r="ER27" s="227">
        <v>0</v>
      </c>
      <c r="ES27" s="225">
        <f t="shared" si="21"/>
        <v>1276290</v>
      </c>
      <c r="ET27" s="225">
        <f t="shared" si="22"/>
        <v>385439.58</v>
      </c>
      <c r="EU27" s="226"/>
      <c r="EV27" s="228">
        <f t="shared" si="23"/>
        <v>35539.775999999998</v>
      </c>
      <c r="EW27" s="229">
        <f t="shared" si="24"/>
        <v>210709</v>
      </c>
      <c r="EX27" s="229">
        <f t="shared" si="50"/>
        <v>59753</v>
      </c>
      <c r="EY27" s="229">
        <f t="shared" si="50"/>
        <v>415128</v>
      </c>
      <c r="EZ27" s="229">
        <f t="shared" si="50"/>
        <v>240585</v>
      </c>
      <c r="FA27" s="230">
        <f t="shared" si="26"/>
        <v>169484</v>
      </c>
      <c r="FB27" s="231">
        <f t="shared" si="27"/>
        <v>142629</v>
      </c>
      <c r="FC27" s="226"/>
      <c r="FD27" s="232">
        <f t="shared" si="51"/>
        <v>117000</v>
      </c>
      <c r="FE27" s="230">
        <f t="shared" si="28"/>
        <v>63000</v>
      </c>
      <c r="FF27" s="225">
        <v>3050</v>
      </c>
      <c r="FG27" s="225">
        <f t="shared" si="29"/>
        <v>113400</v>
      </c>
      <c r="FH27" s="233">
        <v>23665</v>
      </c>
      <c r="FI27" s="233">
        <f t="shared" si="60"/>
        <v>37440</v>
      </c>
      <c r="FJ27" s="233">
        <f t="shared" si="30"/>
        <v>0</v>
      </c>
      <c r="FK27" s="233">
        <f t="shared" si="31"/>
        <v>0</v>
      </c>
      <c r="FL27" s="225">
        <f t="shared" si="32"/>
        <v>23596</v>
      </c>
      <c r="FM27" s="225">
        <v>152964</v>
      </c>
      <c r="FN27" s="225">
        <v>541862</v>
      </c>
      <c r="FO27" s="225">
        <f t="shared" si="53"/>
        <v>541862</v>
      </c>
      <c r="FP27" s="232">
        <f t="shared" si="33"/>
        <v>39000</v>
      </c>
      <c r="FQ27" s="232">
        <v>39000</v>
      </c>
      <c r="FR27" s="232">
        <v>3650</v>
      </c>
      <c r="FS27" s="234"/>
      <c r="FT27" s="235">
        <v>600044.83000000007</v>
      </c>
      <c r="FU27" s="235">
        <v>1167990</v>
      </c>
      <c r="FV27" s="235">
        <v>1844361</v>
      </c>
      <c r="FW27" s="232">
        <v>84</v>
      </c>
      <c r="FX27" s="232">
        <v>13</v>
      </c>
      <c r="FY27" s="232">
        <v>216294.94</v>
      </c>
      <c r="FZ27" s="232"/>
    </row>
    <row r="28" spans="1:182" ht="35.25" customHeight="1" x14ac:dyDescent="0.3">
      <c r="A28" s="181" t="s">
        <v>194</v>
      </c>
      <c r="B28" s="181" t="s">
        <v>184</v>
      </c>
      <c r="C28" s="182" t="s">
        <v>212</v>
      </c>
      <c r="D28" s="183">
        <v>31.94</v>
      </c>
      <c r="E28" s="183"/>
      <c r="F28" s="183">
        <v>17.34</v>
      </c>
      <c r="G28" s="183">
        <v>2.75</v>
      </c>
      <c r="H28" s="183">
        <v>1.38</v>
      </c>
      <c r="I28" s="184"/>
      <c r="J28" s="183">
        <v>0.27</v>
      </c>
      <c r="K28" s="183">
        <v>0.04</v>
      </c>
      <c r="L28" s="183">
        <v>2.08</v>
      </c>
      <c r="M28" s="185">
        <v>1.25</v>
      </c>
      <c r="N28" s="186"/>
      <c r="O28" s="187">
        <v>14400</v>
      </c>
      <c r="P28" s="188">
        <v>8663</v>
      </c>
      <c r="Q28" s="187">
        <v>29555.94</v>
      </c>
      <c r="R28" s="188">
        <v>22125</v>
      </c>
      <c r="S28" s="187">
        <v>16272.87</v>
      </c>
      <c r="T28" s="188">
        <v>8037</v>
      </c>
      <c r="U28" s="187">
        <v>28855.62</v>
      </c>
      <c r="V28" s="188">
        <v>21250</v>
      </c>
      <c r="W28" s="187">
        <v>7500</v>
      </c>
      <c r="X28" s="188">
        <v>0</v>
      </c>
      <c r="Y28" s="189">
        <v>89486</v>
      </c>
      <c r="Z28" s="190">
        <v>22051</v>
      </c>
      <c r="AA28" s="191">
        <v>22619.4</v>
      </c>
      <c r="AB28" s="192">
        <f t="shared" si="5"/>
        <v>16866.3</v>
      </c>
      <c r="AC28" s="193">
        <v>15659.7</v>
      </c>
      <c r="AD28" s="193"/>
      <c r="AE28" s="193">
        <v>1206.5999999999999</v>
      </c>
      <c r="AF28" s="194">
        <v>2224.1999999999998</v>
      </c>
      <c r="AG28" s="195">
        <v>1793.1</v>
      </c>
      <c r="AH28" s="196">
        <v>3016</v>
      </c>
      <c r="AI28" s="196">
        <v>5475</v>
      </c>
      <c r="AJ28" s="196">
        <v>2700</v>
      </c>
      <c r="AK28" s="197">
        <v>2017</v>
      </c>
      <c r="AL28" s="197">
        <v>383</v>
      </c>
      <c r="AM28" s="198">
        <v>383</v>
      </c>
      <c r="AN28" s="198"/>
      <c r="AO28" s="198">
        <v>340</v>
      </c>
      <c r="AP28" s="198"/>
      <c r="AQ28" s="199">
        <v>8</v>
      </c>
      <c r="AR28" s="200" t="s">
        <v>211</v>
      </c>
      <c r="AS28" s="201">
        <v>13</v>
      </c>
      <c r="AT28" s="202">
        <v>13</v>
      </c>
      <c r="AU28" s="203" t="s">
        <v>187</v>
      </c>
      <c r="AV28" s="203" t="s">
        <v>188</v>
      </c>
      <c r="AW28" s="204">
        <f t="shared" si="6"/>
        <v>3</v>
      </c>
      <c r="AX28" s="205">
        <f t="shared" si="7"/>
        <v>1793.1</v>
      </c>
      <c r="AY28" s="205">
        <f t="shared" si="59"/>
        <v>2689.7</v>
      </c>
      <c r="AZ28" s="205">
        <f t="shared" si="8"/>
        <v>5066.5</v>
      </c>
      <c r="BA28" s="206"/>
      <c r="BB28" s="206"/>
      <c r="BC28" s="207"/>
      <c r="BD28" s="208" t="s">
        <v>189</v>
      </c>
      <c r="BE28" s="208" t="s">
        <v>189</v>
      </c>
      <c r="BF28" s="208" t="s">
        <v>189</v>
      </c>
      <c r="BG28" s="208" t="s">
        <v>189</v>
      </c>
      <c r="BH28" s="207" t="s">
        <v>190</v>
      </c>
      <c r="BI28" s="209" t="s">
        <v>190</v>
      </c>
      <c r="BJ28" s="209" t="s">
        <v>200</v>
      </c>
      <c r="BK28" s="181" t="s">
        <v>191</v>
      </c>
      <c r="BL28" s="181">
        <v>2</v>
      </c>
      <c r="BM28" s="201" t="s">
        <v>191</v>
      </c>
      <c r="BN28" s="181">
        <v>2</v>
      </c>
      <c r="BO28" s="181" t="s">
        <v>191</v>
      </c>
      <c r="BP28" s="181"/>
      <c r="BQ28" s="181" t="s">
        <v>192</v>
      </c>
      <c r="BR28" s="181"/>
      <c r="BS28" s="210">
        <f t="shared" si="9"/>
        <v>16866.3</v>
      </c>
      <c r="BT28" s="211">
        <f t="shared" si="34"/>
        <v>0.10683657758545212</v>
      </c>
      <c r="BU28" s="211">
        <v>3.4000000000000002E-2</v>
      </c>
      <c r="BV28" s="211">
        <v>2.4283805693380643E-2</v>
      </c>
      <c r="BW28" s="211">
        <f t="shared" si="10"/>
        <v>151796.69999999998</v>
      </c>
      <c r="BX28" s="212">
        <f t="shared" si="35"/>
        <v>9</v>
      </c>
      <c r="BY28" s="213">
        <v>3</v>
      </c>
      <c r="BZ28" s="213">
        <v>3</v>
      </c>
      <c r="CA28" s="213">
        <v>3</v>
      </c>
      <c r="CB28" s="213"/>
      <c r="CC28" s="266">
        <v>25.26</v>
      </c>
      <c r="CD28" s="266"/>
      <c r="CE28" s="266"/>
      <c r="CF28" s="266"/>
      <c r="CG28" s="185"/>
      <c r="CH28" s="214">
        <f t="shared" si="36"/>
        <v>4916228</v>
      </c>
      <c r="CI28" s="215">
        <f t="shared" si="11"/>
        <v>4501537</v>
      </c>
      <c r="CJ28" s="215">
        <f t="shared" si="12"/>
        <v>0</v>
      </c>
      <c r="CK28" s="215">
        <f t="shared" si="13"/>
        <v>188302</v>
      </c>
      <c r="CL28" s="215">
        <f t="shared" si="14"/>
        <v>387578</v>
      </c>
      <c r="CM28" s="215">
        <f t="shared" si="15"/>
        <v>0</v>
      </c>
      <c r="CN28" s="215">
        <f t="shared" si="16"/>
        <v>14986</v>
      </c>
      <c r="CO28" s="215"/>
      <c r="CP28" s="216">
        <f t="shared" si="37"/>
        <v>176175</v>
      </c>
      <c r="CQ28" s="214">
        <f t="shared" si="38"/>
        <v>4745990.97</v>
      </c>
      <c r="CR28" s="217">
        <v>4558106.43</v>
      </c>
      <c r="CS28" s="217">
        <v>0</v>
      </c>
      <c r="CT28" s="217">
        <v>187884.54</v>
      </c>
      <c r="CU28" s="214">
        <f t="shared" si="39"/>
        <v>3793885.8499999987</v>
      </c>
      <c r="CV28" s="218">
        <v>3715204.6199999987</v>
      </c>
      <c r="CW28" s="218">
        <v>0</v>
      </c>
      <c r="CX28" s="218">
        <v>78681.23</v>
      </c>
      <c r="CY28" s="219">
        <f t="shared" si="40"/>
        <v>203288</v>
      </c>
      <c r="CZ28" s="219">
        <f t="shared" si="41"/>
        <v>15403.459999999992</v>
      </c>
      <c r="DA28" s="215">
        <f t="shared" si="42"/>
        <v>38053.08</v>
      </c>
      <c r="DB28" s="215">
        <f t="shared" si="43"/>
        <v>144.78</v>
      </c>
      <c r="DC28" s="215">
        <f t="shared" si="44"/>
        <v>21408.18</v>
      </c>
      <c r="DD28" s="217">
        <v>34610.730000000003</v>
      </c>
      <c r="DE28" s="217">
        <v>0</v>
      </c>
      <c r="DF28" s="217">
        <v>444432.46</v>
      </c>
      <c r="DG28" s="217">
        <v>15265.15</v>
      </c>
      <c r="DH28" s="218">
        <v>27127.81</v>
      </c>
      <c r="DI28" s="218">
        <v>0</v>
      </c>
      <c r="DJ28" s="218">
        <v>347763.05</v>
      </c>
      <c r="DK28" s="218">
        <v>12007.07</v>
      </c>
      <c r="DL28" s="215">
        <f t="shared" si="17"/>
        <v>96584.430000000008</v>
      </c>
      <c r="DM28" s="218">
        <f t="shared" si="18"/>
        <v>60075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8371.98</v>
      </c>
      <c r="DT28" s="220">
        <v>6223.48</v>
      </c>
      <c r="DU28" s="220">
        <v>260653.38</v>
      </c>
      <c r="DV28" s="220">
        <v>202798.59</v>
      </c>
      <c r="DW28" s="220">
        <v>5525131.9699999997</v>
      </c>
      <c r="DX28" s="220">
        <v>4697372.16</v>
      </c>
      <c r="DY28" s="214">
        <f t="shared" si="19"/>
        <v>8078956.4220000003</v>
      </c>
      <c r="DZ28" s="221">
        <f t="shared" si="20"/>
        <v>589947</v>
      </c>
      <c r="EA28" s="222">
        <f t="shared" si="45"/>
        <v>1689242.08</v>
      </c>
      <c r="EB28" s="223">
        <f t="shared" si="46"/>
        <v>0.34360531692183521</v>
      </c>
      <c r="EC28" s="224">
        <f t="shared" si="47"/>
        <v>-3162728.4220000003</v>
      </c>
      <c r="ED28" s="225">
        <f t="shared" si="55"/>
        <v>72115</v>
      </c>
      <c r="EE28" s="225">
        <f t="shared" si="55"/>
        <v>45512</v>
      </c>
      <c r="EF28" s="225">
        <f t="shared" si="55"/>
        <v>9615</v>
      </c>
      <c r="EG28" s="225">
        <f t="shared" si="49"/>
        <v>865</v>
      </c>
      <c r="EH28" s="225">
        <v>8254</v>
      </c>
      <c r="EI28" s="226"/>
      <c r="EJ28" s="227">
        <v>36666</v>
      </c>
      <c r="EK28" s="227">
        <v>23232</v>
      </c>
      <c r="EL28" s="227">
        <v>30819</v>
      </c>
      <c r="EM28" s="227">
        <v>12080</v>
      </c>
      <c r="EN28" s="227">
        <v>7548</v>
      </c>
      <c r="EO28" s="227">
        <v>5808</v>
      </c>
      <c r="EP28" s="227">
        <v>9504</v>
      </c>
      <c r="EQ28" s="227">
        <v>6864</v>
      </c>
      <c r="ER28" s="227">
        <v>0</v>
      </c>
      <c r="ES28" s="225">
        <f t="shared" si="21"/>
        <v>1192689</v>
      </c>
      <c r="ET28" s="225">
        <f t="shared" si="22"/>
        <v>360192.08</v>
      </c>
      <c r="EU28" s="226"/>
      <c r="EV28" s="228">
        <f t="shared" si="23"/>
        <v>33824.951999999997</v>
      </c>
      <c r="EW28" s="229">
        <f t="shared" si="24"/>
        <v>203408</v>
      </c>
      <c r="EX28" s="229">
        <f t="shared" si="50"/>
        <v>57683</v>
      </c>
      <c r="EY28" s="229">
        <f t="shared" si="50"/>
        <v>400743</v>
      </c>
      <c r="EZ28" s="229">
        <f t="shared" si="50"/>
        <v>232249</v>
      </c>
      <c r="FA28" s="230">
        <f t="shared" si="26"/>
        <v>162316</v>
      </c>
      <c r="FB28" s="231">
        <f t="shared" si="27"/>
        <v>149885</v>
      </c>
      <c r="FC28" s="226"/>
      <c r="FD28" s="232">
        <f t="shared" si="51"/>
        <v>117000</v>
      </c>
      <c r="FE28" s="230">
        <f t="shared" si="28"/>
        <v>57450</v>
      </c>
      <c r="FF28" s="225">
        <v>5750</v>
      </c>
      <c r="FG28" s="225">
        <f t="shared" si="29"/>
        <v>103410</v>
      </c>
      <c r="FH28" s="233">
        <v>22290</v>
      </c>
      <c r="FI28" s="233">
        <f t="shared" si="60"/>
        <v>37440</v>
      </c>
      <c r="FJ28" s="233">
        <f t="shared" si="30"/>
        <v>0</v>
      </c>
      <c r="FK28" s="233">
        <f t="shared" si="31"/>
        <v>0</v>
      </c>
      <c r="FL28" s="225">
        <f t="shared" si="32"/>
        <v>22619</v>
      </c>
      <c r="FM28" s="225">
        <v>152964</v>
      </c>
      <c r="FN28" s="225">
        <v>541862</v>
      </c>
      <c r="FO28" s="225">
        <f t="shared" si="53"/>
        <v>541862</v>
      </c>
      <c r="FP28" s="232">
        <f t="shared" si="33"/>
        <v>39000</v>
      </c>
      <c r="FQ28" s="232">
        <v>39000</v>
      </c>
      <c r="FR28" s="232">
        <v>3650</v>
      </c>
      <c r="FS28" s="234"/>
      <c r="FT28" s="235">
        <v>582265.39</v>
      </c>
      <c r="FU28" s="235">
        <v>1126513</v>
      </c>
      <c r="FV28" s="235">
        <v>1756530</v>
      </c>
      <c r="FW28" s="232">
        <v>87</v>
      </c>
      <c r="FX28" s="232">
        <v>10</v>
      </c>
      <c r="FY28" s="232">
        <v>166680.71</v>
      </c>
      <c r="FZ28" s="232"/>
    </row>
    <row r="29" spans="1:182" ht="35.25" customHeight="1" x14ac:dyDescent="0.3">
      <c r="A29" s="181" t="s">
        <v>194</v>
      </c>
      <c r="B29" s="181" t="s">
        <v>184</v>
      </c>
      <c r="C29" s="182" t="s">
        <v>213</v>
      </c>
      <c r="D29" s="183">
        <v>31.94</v>
      </c>
      <c r="E29" s="183"/>
      <c r="F29" s="183">
        <v>16.88</v>
      </c>
      <c r="G29" s="183">
        <v>1.83</v>
      </c>
      <c r="H29" s="183">
        <v>0.92</v>
      </c>
      <c r="I29" s="184"/>
      <c r="J29" s="183">
        <v>0.27</v>
      </c>
      <c r="K29" s="183">
        <v>0.04</v>
      </c>
      <c r="L29" s="183">
        <v>2.08</v>
      </c>
      <c r="M29" s="185">
        <v>1.25</v>
      </c>
      <c r="N29" s="186"/>
      <c r="O29" s="187">
        <v>14400</v>
      </c>
      <c r="P29" s="188">
        <v>8663</v>
      </c>
      <c r="Q29" s="187">
        <v>27440.400000000001</v>
      </c>
      <c r="R29" s="188">
        <v>20542</v>
      </c>
      <c r="S29" s="187">
        <v>9427.23</v>
      </c>
      <c r="T29" s="188">
        <v>4656</v>
      </c>
      <c r="U29" s="187">
        <v>100342.44000000002</v>
      </c>
      <c r="V29" s="188">
        <v>73894</v>
      </c>
      <c r="W29" s="187">
        <v>0</v>
      </c>
      <c r="X29" s="188">
        <v>0</v>
      </c>
      <c r="Y29" s="189">
        <v>146860</v>
      </c>
      <c r="Z29" s="190">
        <v>36778.6</v>
      </c>
      <c r="AA29" s="191">
        <v>35640.400000000001</v>
      </c>
      <c r="AB29" s="192">
        <f t="shared" si="5"/>
        <v>26040.399999999998</v>
      </c>
      <c r="AC29" s="193">
        <v>24134.6</v>
      </c>
      <c r="AD29" s="193">
        <v>316</v>
      </c>
      <c r="AE29" s="193">
        <v>1589.8</v>
      </c>
      <c r="AF29" s="194">
        <v>3753.4</v>
      </c>
      <c r="AG29" s="195">
        <v>3890.7</v>
      </c>
      <c r="AH29" s="196">
        <v>6035</v>
      </c>
      <c r="AI29" s="196">
        <v>840</v>
      </c>
      <c r="AJ29" s="196">
        <v>4540</v>
      </c>
      <c r="AK29" s="197">
        <v>2016</v>
      </c>
      <c r="AL29" s="197">
        <v>621</v>
      </c>
      <c r="AM29" s="198">
        <v>621</v>
      </c>
      <c r="AN29" s="198"/>
      <c r="AO29" s="198">
        <v>427</v>
      </c>
      <c r="AP29" s="198"/>
      <c r="AQ29" s="199">
        <v>8</v>
      </c>
      <c r="AR29" s="200" t="s">
        <v>214</v>
      </c>
      <c r="AS29" s="201">
        <v>22</v>
      </c>
      <c r="AT29" s="202">
        <v>22</v>
      </c>
      <c r="AU29" s="203" t="s">
        <v>187</v>
      </c>
      <c r="AV29" s="203" t="s">
        <v>188</v>
      </c>
      <c r="AW29" s="204">
        <f t="shared" si="6"/>
        <v>3</v>
      </c>
      <c r="AX29" s="205">
        <f t="shared" si="7"/>
        <v>3890.7</v>
      </c>
      <c r="AY29" s="205">
        <f t="shared" si="59"/>
        <v>5836.1</v>
      </c>
      <c r="AZ29" s="205">
        <f t="shared" si="8"/>
        <v>8224</v>
      </c>
      <c r="BA29" s="206"/>
      <c r="BB29" s="206"/>
      <c r="BC29" s="207"/>
      <c r="BD29" s="208" t="s">
        <v>189</v>
      </c>
      <c r="BE29" s="208" t="s">
        <v>189</v>
      </c>
      <c r="BF29" s="208" t="s">
        <v>189</v>
      </c>
      <c r="BG29" s="208" t="s">
        <v>189</v>
      </c>
      <c r="BH29" s="207" t="s">
        <v>190</v>
      </c>
      <c r="BI29" s="209" t="s">
        <v>190</v>
      </c>
      <c r="BJ29" s="209" t="s">
        <v>200</v>
      </c>
      <c r="BK29" s="181" t="s">
        <v>191</v>
      </c>
      <c r="BL29" s="181">
        <v>6</v>
      </c>
      <c r="BM29" s="201" t="s">
        <v>191</v>
      </c>
      <c r="BN29" s="181">
        <v>3</v>
      </c>
      <c r="BO29" s="181" t="s">
        <v>191</v>
      </c>
      <c r="BP29" s="181"/>
      <c r="BQ29" s="181" t="s">
        <v>192</v>
      </c>
      <c r="BR29" s="181"/>
      <c r="BS29" s="210">
        <f t="shared" si="9"/>
        <v>26040.399999999998</v>
      </c>
      <c r="BT29" s="211">
        <f t="shared" si="34"/>
        <v>0.16494828237113104</v>
      </c>
      <c r="BU29" s="211">
        <v>4.8000000000000001E-2</v>
      </c>
      <c r="BV29" s="211">
        <v>3.415066943778839E-2</v>
      </c>
      <c r="BW29" s="211">
        <f t="shared" si="10"/>
        <v>234363.59999999998</v>
      </c>
      <c r="BX29" s="212">
        <f t="shared" si="35"/>
        <v>9</v>
      </c>
      <c r="BY29" s="213">
        <v>3</v>
      </c>
      <c r="BZ29" s="213">
        <v>3</v>
      </c>
      <c r="CA29" s="213">
        <v>3</v>
      </c>
      <c r="CB29" s="213"/>
      <c r="CC29" s="252">
        <v>25.26</v>
      </c>
      <c r="CD29" s="252"/>
      <c r="CE29" s="252"/>
      <c r="CF29" s="252"/>
      <c r="CG29" s="252"/>
      <c r="CH29" s="214">
        <f t="shared" si="36"/>
        <v>7414445</v>
      </c>
      <c r="CI29" s="215">
        <f t="shared" si="11"/>
        <v>6937732</v>
      </c>
      <c r="CJ29" s="215">
        <f t="shared" si="12"/>
        <v>90837</v>
      </c>
      <c r="CK29" s="215">
        <f t="shared" si="13"/>
        <v>241522</v>
      </c>
      <c r="CL29" s="215">
        <f t="shared" si="14"/>
        <v>397497</v>
      </c>
      <c r="CM29" s="215">
        <f t="shared" si="15"/>
        <v>5205</v>
      </c>
      <c r="CN29" s="215">
        <f t="shared" si="16"/>
        <v>13164</v>
      </c>
      <c r="CO29" s="215"/>
      <c r="CP29" s="216">
        <f t="shared" si="37"/>
        <v>271512</v>
      </c>
      <c r="CQ29" s="214">
        <f t="shared" si="38"/>
        <v>7369952.4299999997</v>
      </c>
      <c r="CR29" s="217">
        <v>7048127.0099999998</v>
      </c>
      <c r="CS29" s="217">
        <v>96041.880000000019</v>
      </c>
      <c r="CT29" s="217">
        <v>225783.54</v>
      </c>
      <c r="CU29" s="214">
        <f t="shared" si="39"/>
        <v>6011044.9600000065</v>
      </c>
      <c r="CV29" s="218">
        <v>5836418.7400000067</v>
      </c>
      <c r="CW29" s="218">
        <v>64027.92</v>
      </c>
      <c r="CX29" s="218">
        <v>110598.3</v>
      </c>
      <c r="CY29" s="219">
        <f t="shared" si="40"/>
        <v>254686</v>
      </c>
      <c r="CZ29" s="219">
        <f t="shared" si="41"/>
        <v>28902.459999999992</v>
      </c>
      <c r="DA29" s="215">
        <f t="shared" si="42"/>
        <v>59414.94</v>
      </c>
      <c r="DB29" s="215">
        <f t="shared" si="43"/>
        <v>228.69</v>
      </c>
      <c r="DC29" s="215">
        <f t="shared" si="44"/>
        <v>33341.58</v>
      </c>
      <c r="DD29" s="217">
        <v>58523.46</v>
      </c>
      <c r="DE29" s="217">
        <v>114.69</v>
      </c>
      <c r="DF29" s="217">
        <v>1388959.5</v>
      </c>
      <c r="DG29" s="217">
        <v>25794.18</v>
      </c>
      <c r="DH29" s="218">
        <v>47299.7</v>
      </c>
      <c r="DI29" s="218">
        <v>109.39</v>
      </c>
      <c r="DJ29" s="218">
        <v>1238285.77</v>
      </c>
      <c r="DK29" s="218">
        <v>20923.349999999999</v>
      </c>
      <c r="DL29" s="215">
        <f t="shared" si="17"/>
        <v>151610.07</v>
      </c>
      <c r="DM29" s="218">
        <f t="shared" si="18"/>
        <v>107755</v>
      </c>
      <c r="DN29" s="220">
        <v>2035270.8</v>
      </c>
      <c r="DO29" s="220">
        <v>1984623.12</v>
      </c>
      <c r="DP29" s="220">
        <v>1633500.09</v>
      </c>
      <c r="DQ29" s="220">
        <v>1310412.05</v>
      </c>
      <c r="DR29" s="220">
        <v>1090774.53</v>
      </c>
      <c r="DS29" s="220">
        <v>0</v>
      </c>
      <c r="DT29" s="220">
        <v>0</v>
      </c>
      <c r="DU29" s="220">
        <v>965099.59</v>
      </c>
      <c r="DV29" s="220">
        <v>802630.75</v>
      </c>
      <c r="DW29" s="220">
        <v>8574342.4100000001</v>
      </c>
      <c r="DX29" s="220">
        <v>7586174.1900000004</v>
      </c>
      <c r="DY29" s="214">
        <f t="shared" si="19"/>
        <v>12561664.175999999</v>
      </c>
      <c r="DZ29" s="221">
        <f t="shared" si="20"/>
        <v>889733</v>
      </c>
      <c r="EA29" s="222">
        <f t="shared" si="45"/>
        <v>2800264.41</v>
      </c>
      <c r="EB29" s="223">
        <f t="shared" si="46"/>
        <v>0.37767687399394023</v>
      </c>
      <c r="EC29" s="224">
        <f t="shared" si="47"/>
        <v>-5147219.175999999</v>
      </c>
      <c r="ED29" s="225">
        <f t="shared" si="55"/>
        <v>111340</v>
      </c>
      <c r="EE29" s="225">
        <f t="shared" si="55"/>
        <v>70268</v>
      </c>
      <c r="EF29" s="225">
        <f t="shared" si="55"/>
        <v>14845</v>
      </c>
      <c r="EG29" s="225">
        <f t="shared" si="49"/>
        <v>1336</v>
      </c>
      <c r="EH29" s="225">
        <v>12856</v>
      </c>
      <c r="EI29" s="226"/>
      <c r="EJ29" s="227">
        <v>61141</v>
      </c>
      <c r="EK29" s="227">
        <v>38742</v>
      </c>
      <c r="EL29" s="227">
        <v>51397</v>
      </c>
      <c r="EM29" s="227">
        <v>20146</v>
      </c>
      <c r="EN29" s="227">
        <v>12587</v>
      </c>
      <c r="EO29" s="227">
        <v>9686</v>
      </c>
      <c r="EP29" s="227">
        <v>15849</v>
      </c>
      <c r="EQ29" s="227">
        <v>11447</v>
      </c>
      <c r="ER29" s="227">
        <v>0</v>
      </c>
      <c r="ES29" s="225">
        <f t="shared" si="21"/>
        <v>1988955</v>
      </c>
      <c r="ET29" s="225">
        <f t="shared" si="22"/>
        <v>600664.41</v>
      </c>
      <c r="EU29" s="226"/>
      <c r="EV29" s="228">
        <f t="shared" si="23"/>
        <v>52813.295999999995</v>
      </c>
      <c r="EW29" s="229">
        <f t="shared" si="24"/>
        <v>310236</v>
      </c>
      <c r="EX29" s="229">
        <f t="shared" si="50"/>
        <v>87977</v>
      </c>
      <c r="EY29" s="229">
        <f t="shared" si="50"/>
        <v>611212</v>
      </c>
      <c r="EZ29" s="229">
        <f t="shared" si="50"/>
        <v>354225</v>
      </c>
      <c r="FA29" s="230">
        <f t="shared" si="26"/>
        <v>326174</v>
      </c>
      <c r="FB29" s="231">
        <f t="shared" si="27"/>
        <v>210786</v>
      </c>
      <c r="FC29" s="226"/>
      <c r="FD29" s="232">
        <f t="shared" si="51"/>
        <v>198000</v>
      </c>
      <c r="FE29" s="230">
        <f t="shared" si="28"/>
        <v>93150</v>
      </c>
      <c r="FF29" s="225">
        <v>9150</v>
      </c>
      <c r="FG29" s="225">
        <f t="shared" si="29"/>
        <v>167670</v>
      </c>
      <c r="FH29" s="233">
        <v>41707</v>
      </c>
      <c r="FI29" s="233">
        <f t="shared" si="60"/>
        <v>63360</v>
      </c>
      <c r="FJ29" s="233">
        <f t="shared" si="30"/>
        <v>0</v>
      </c>
      <c r="FK29" s="233">
        <f t="shared" si="31"/>
        <v>0</v>
      </c>
      <c r="FL29" s="225">
        <f t="shared" si="32"/>
        <v>35640</v>
      </c>
      <c r="FM29" s="225">
        <v>229445</v>
      </c>
      <c r="FN29" s="225">
        <v>916997</v>
      </c>
      <c r="FO29" s="224">
        <f>+FN29-3740</f>
        <v>913257</v>
      </c>
      <c r="FP29" s="232">
        <f t="shared" si="33"/>
        <v>66000</v>
      </c>
      <c r="FQ29" s="232"/>
      <c r="FR29" s="232">
        <v>6179</v>
      </c>
      <c r="FS29" s="234"/>
      <c r="FT29" s="235">
        <v>867389.47</v>
      </c>
      <c r="FU29" s="235">
        <v>1740890</v>
      </c>
      <c r="FV29" s="235">
        <v>2459142</v>
      </c>
      <c r="FW29" s="232">
        <v>97</v>
      </c>
      <c r="FX29" s="232">
        <v>48</v>
      </c>
      <c r="FY29" s="232">
        <v>862230.44</v>
      </c>
      <c r="FZ29" s="232"/>
    </row>
    <row r="30" spans="1:182" ht="35.25" customHeight="1" x14ac:dyDescent="0.3">
      <c r="A30" s="181" t="s">
        <v>11</v>
      </c>
      <c r="B30" s="181" t="s">
        <v>184</v>
      </c>
      <c r="C30" s="182" t="s">
        <v>215</v>
      </c>
      <c r="D30" s="183">
        <v>31.94</v>
      </c>
      <c r="E30" s="183"/>
      <c r="F30" s="183">
        <v>17.34</v>
      </c>
      <c r="G30" s="183">
        <v>2.75</v>
      </c>
      <c r="H30" s="183">
        <v>1.38</v>
      </c>
      <c r="I30" s="184"/>
      <c r="J30" s="183">
        <v>0.27</v>
      </c>
      <c r="K30" s="183">
        <v>0.04</v>
      </c>
      <c r="L30" s="183">
        <v>2.08</v>
      </c>
      <c r="M30" s="185">
        <v>1.25</v>
      </c>
      <c r="N30" s="186"/>
      <c r="O30" s="187">
        <v>8000</v>
      </c>
      <c r="P30" s="188">
        <v>4813</v>
      </c>
      <c r="Q30" s="187">
        <v>20951.259999999998</v>
      </c>
      <c r="R30" s="188">
        <v>15684</v>
      </c>
      <c r="S30" s="187">
        <v>12866.16</v>
      </c>
      <c r="T30" s="188">
        <v>6355</v>
      </c>
      <c r="U30" s="187">
        <v>4920.8599999999997</v>
      </c>
      <c r="V30" s="188">
        <v>3624</v>
      </c>
      <c r="W30" s="187">
        <v>12000</v>
      </c>
      <c r="X30" s="188">
        <v>0</v>
      </c>
      <c r="Y30" s="189"/>
      <c r="Z30" s="190">
        <v>21026.5</v>
      </c>
      <c r="AA30" s="191">
        <f>+AC30+AE30+AD30</f>
        <v>16378.8</v>
      </c>
      <c r="AB30" s="192">
        <f t="shared" si="5"/>
        <v>16378.8</v>
      </c>
      <c r="AC30" s="193">
        <v>15208.3</v>
      </c>
      <c r="AD30" s="193">
        <v>146.9</v>
      </c>
      <c r="AE30" s="193">
        <v>1023.6</v>
      </c>
      <c r="AF30" s="194">
        <v>2300</v>
      </c>
      <c r="AG30" s="195">
        <v>2300</v>
      </c>
      <c r="AH30" s="196">
        <v>2630</v>
      </c>
      <c r="AI30" s="196">
        <v>362</v>
      </c>
      <c r="AJ30" s="196"/>
      <c r="AK30" s="197">
        <v>2017</v>
      </c>
      <c r="AL30" s="197">
        <v>362</v>
      </c>
      <c r="AM30" s="198">
        <v>362</v>
      </c>
      <c r="AN30" s="198"/>
      <c r="AO30" s="198">
        <v>241</v>
      </c>
      <c r="AP30" s="198"/>
      <c r="AQ30" s="199">
        <v>8</v>
      </c>
      <c r="AR30" s="200" t="s">
        <v>216</v>
      </c>
      <c r="AS30" s="201">
        <v>13</v>
      </c>
      <c r="AT30" s="202">
        <v>13</v>
      </c>
      <c r="AU30" s="203" t="s">
        <v>187</v>
      </c>
      <c r="AV30" s="203" t="s">
        <v>188</v>
      </c>
      <c r="AW30" s="204">
        <f t="shared" si="6"/>
        <v>3</v>
      </c>
      <c r="AX30" s="205">
        <f t="shared" si="7"/>
        <v>2300</v>
      </c>
      <c r="AY30" s="205">
        <f t="shared" si="59"/>
        <v>3450</v>
      </c>
      <c r="AZ30" s="205">
        <f t="shared" si="8"/>
        <v>4683.6000000000004</v>
      </c>
      <c r="BA30" s="206"/>
      <c r="BB30" s="206"/>
      <c r="BC30" s="207"/>
      <c r="BD30" s="208" t="s">
        <v>189</v>
      </c>
      <c r="BE30" s="208" t="s">
        <v>189</v>
      </c>
      <c r="BF30" s="208" t="s">
        <v>189</v>
      </c>
      <c r="BG30" s="208" t="s">
        <v>189</v>
      </c>
      <c r="BH30" s="207" t="s">
        <v>190</v>
      </c>
      <c r="BI30" s="209" t="s">
        <v>190</v>
      </c>
      <c r="BJ30" s="209" t="s">
        <v>200</v>
      </c>
      <c r="BK30" s="181" t="s">
        <v>191</v>
      </c>
      <c r="BL30" s="181"/>
      <c r="BM30" s="201" t="s">
        <v>191</v>
      </c>
      <c r="BN30" s="181">
        <v>2</v>
      </c>
      <c r="BO30" s="181" t="s">
        <v>191</v>
      </c>
      <c r="BP30" s="181"/>
      <c r="BQ30" s="181" t="s">
        <v>192</v>
      </c>
      <c r="BR30" s="181"/>
      <c r="BS30" s="210">
        <f t="shared" si="9"/>
        <v>16378.8</v>
      </c>
      <c r="BT30" s="211">
        <f t="shared" si="34"/>
        <v>5.763810863334326E-2</v>
      </c>
      <c r="BU30" s="211">
        <v>0.03</v>
      </c>
      <c r="BV30" s="211">
        <v>1.4248230345743946E-2</v>
      </c>
      <c r="BW30" s="211">
        <f t="shared" si="10"/>
        <v>81894</v>
      </c>
      <c r="BX30" s="212">
        <f t="shared" si="35"/>
        <v>5</v>
      </c>
      <c r="BY30" s="213"/>
      <c r="BZ30" s="213">
        <v>2</v>
      </c>
      <c r="CA30" s="213">
        <v>3</v>
      </c>
      <c r="CB30" s="213"/>
      <c r="CC30" s="266">
        <v>25.26</v>
      </c>
      <c r="CD30" s="266"/>
      <c r="CE30" s="266"/>
      <c r="CF30" s="266"/>
      <c r="CG30" s="185"/>
      <c r="CH30" s="214">
        <f t="shared" si="36"/>
        <v>2664119</v>
      </c>
      <c r="CI30" s="215">
        <f t="shared" si="11"/>
        <v>2428766</v>
      </c>
      <c r="CJ30" s="215">
        <f t="shared" si="12"/>
        <v>23460</v>
      </c>
      <c r="CK30" s="215">
        <f t="shared" si="13"/>
        <v>88746</v>
      </c>
      <c r="CL30" s="215">
        <f t="shared" si="14"/>
        <v>209114</v>
      </c>
      <c r="CM30" s="215">
        <f t="shared" si="15"/>
        <v>2020</v>
      </c>
      <c r="CN30" s="215">
        <f t="shared" si="16"/>
        <v>7063</v>
      </c>
      <c r="CO30" s="215"/>
      <c r="CP30" s="216">
        <f t="shared" si="37"/>
        <v>95050</v>
      </c>
      <c r="CQ30" s="214">
        <f t="shared" si="38"/>
        <v>2535731.0850000004</v>
      </c>
      <c r="CR30" s="217">
        <v>2370242.9300000002</v>
      </c>
      <c r="CS30" s="217">
        <v>25479.805</v>
      </c>
      <c r="CT30" s="217">
        <v>140008.35</v>
      </c>
      <c r="CU30" s="214">
        <f t="shared" si="39"/>
        <v>1872278.300000001</v>
      </c>
      <c r="CV30" s="218">
        <v>1800400.5100000009</v>
      </c>
      <c r="CW30" s="218">
        <v>6153.99</v>
      </c>
      <c r="CX30" s="218">
        <v>65723.8</v>
      </c>
      <c r="CY30" s="219">
        <f t="shared" si="40"/>
        <v>95809</v>
      </c>
      <c r="CZ30" s="219">
        <f t="shared" si="41"/>
        <v>-44199.350000000006</v>
      </c>
      <c r="DA30" s="215">
        <f t="shared" si="42"/>
        <v>20729.5</v>
      </c>
      <c r="DB30" s="215">
        <f t="shared" si="43"/>
        <v>0</v>
      </c>
      <c r="DC30" s="215">
        <f t="shared" si="44"/>
        <v>13826.18</v>
      </c>
      <c r="DD30" s="217">
        <v>19867.32</v>
      </c>
      <c r="DE30" s="217">
        <v>30.51</v>
      </c>
      <c r="DF30" s="217">
        <v>255928.35</v>
      </c>
      <c r="DG30" s="217">
        <v>8669.4</v>
      </c>
      <c r="DH30" s="218">
        <v>14624.2</v>
      </c>
      <c r="DI30" s="218">
        <v>15.05</v>
      </c>
      <c r="DJ30" s="218">
        <v>188212.4</v>
      </c>
      <c r="DK30" s="218">
        <v>6402.35</v>
      </c>
      <c r="DL30" s="215">
        <f t="shared" si="17"/>
        <v>58738.28</v>
      </c>
      <c r="DM30" s="218">
        <f t="shared" si="18"/>
        <v>30476</v>
      </c>
      <c r="DN30" s="220">
        <v>664566.79999999993</v>
      </c>
      <c r="DO30" s="220">
        <v>659525.07999999996</v>
      </c>
      <c r="DP30" s="220">
        <v>496383.02</v>
      </c>
      <c r="DQ30" s="220">
        <v>569280.44999999995</v>
      </c>
      <c r="DR30" s="220">
        <v>420026.36</v>
      </c>
      <c r="DS30" s="220">
        <v>0</v>
      </c>
      <c r="DT30" s="220">
        <v>0</v>
      </c>
      <c r="DU30" s="220">
        <v>416043.86</v>
      </c>
      <c r="DV30" s="220">
        <v>308951.15999999997</v>
      </c>
      <c r="DW30" s="220">
        <v>1425761.86</v>
      </c>
      <c r="DX30" s="220">
        <v>947657.41</v>
      </c>
      <c r="DY30" s="214">
        <f t="shared" si="19"/>
        <v>4069114.2800000003</v>
      </c>
      <c r="DZ30" s="221">
        <f t="shared" si="20"/>
        <v>319694</v>
      </c>
      <c r="EA30" s="222">
        <f t="shared" si="45"/>
        <v>493724.04</v>
      </c>
      <c r="EB30" s="223">
        <f t="shared" si="46"/>
        <v>0.18532356850425974</v>
      </c>
      <c r="EC30" s="224">
        <f t="shared" si="47"/>
        <v>-1404995.2800000003</v>
      </c>
      <c r="ED30" s="225">
        <f t="shared" si="55"/>
        <v>38906</v>
      </c>
      <c r="EE30" s="225">
        <f t="shared" si="55"/>
        <v>24554</v>
      </c>
      <c r="EF30" s="225">
        <f t="shared" si="55"/>
        <v>5187</v>
      </c>
      <c r="EG30" s="225">
        <f t="shared" si="49"/>
        <v>467</v>
      </c>
      <c r="EH30" s="225">
        <v>1434</v>
      </c>
      <c r="EI30" s="226"/>
      <c r="EJ30" s="227">
        <v>17985</v>
      </c>
      <c r="EK30" s="227">
        <v>11396</v>
      </c>
      <c r="EL30" s="227">
        <v>15116</v>
      </c>
      <c r="EM30" s="227">
        <v>5926</v>
      </c>
      <c r="EN30" s="227">
        <v>3703</v>
      </c>
      <c r="EO30" s="227">
        <v>2849</v>
      </c>
      <c r="EP30" s="227">
        <v>4662</v>
      </c>
      <c r="EQ30" s="227">
        <v>3367</v>
      </c>
      <c r="ER30" s="227">
        <v>0</v>
      </c>
      <c r="ES30" s="225">
        <f t="shared" si="21"/>
        <v>325020</v>
      </c>
      <c r="ET30" s="225">
        <f t="shared" si="22"/>
        <v>98156.04</v>
      </c>
      <c r="EU30" s="226"/>
      <c r="EV30" s="228">
        <f t="shared" si="23"/>
        <v>18426.239999999998</v>
      </c>
      <c r="EW30" s="229">
        <f t="shared" si="24"/>
        <v>108754</v>
      </c>
      <c r="EX30" s="229">
        <f t="shared" si="50"/>
        <v>30841</v>
      </c>
      <c r="EY30" s="229">
        <f t="shared" si="50"/>
        <v>214261</v>
      </c>
      <c r="EZ30" s="229">
        <f t="shared" si="50"/>
        <v>124174</v>
      </c>
      <c r="FA30" s="230">
        <f t="shared" si="26"/>
        <v>108244</v>
      </c>
      <c r="FB30" s="231">
        <f t="shared" si="27"/>
        <v>87943</v>
      </c>
      <c r="FC30" s="226"/>
      <c r="FD30" s="232">
        <f t="shared" si="51"/>
        <v>65000</v>
      </c>
      <c r="FE30" s="230">
        <f t="shared" si="28"/>
        <v>54300</v>
      </c>
      <c r="FF30" s="225">
        <v>3200</v>
      </c>
      <c r="FG30" s="225">
        <f t="shared" si="29"/>
        <v>54300</v>
      </c>
      <c r="FH30" s="233">
        <v>6509</v>
      </c>
      <c r="FI30" s="233">
        <f t="shared" si="60"/>
        <v>20800</v>
      </c>
      <c r="FJ30" s="233">
        <f t="shared" si="30"/>
        <v>0</v>
      </c>
      <c r="FK30" s="233">
        <f t="shared" si="31"/>
        <v>0</v>
      </c>
      <c r="FL30" s="225">
        <f t="shared" si="32"/>
        <v>16379</v>
      </c>
      <c r="FM30" s="225">
        <v>86297</v>
      </c>
      <c r="FN30" s="225">
        <v>301035</v>
      </c>
      <c r="FO30" s="224">
        <f t="shared" si="53"/>
        <v>301035</v>
      </c>
      <c r="FP30" s="232">
        <f t="shared" si="33"/>
        <v>39000</v>
      </c>
      <c r="FQ30" s="232">
        <v>39000</v>
      </c>
      <c r="FR30" s="232">
        <f t="shared" ref="FR30:FR34" si="61">ROUND(AT30*$FR$6,0)</f>
        <v>3557</v>
      </c>
      <c r="FS30" s="234"/>
      <c r="FT30" s="235">
        <v>236690</v>
      </c>
      <c r="FU30" s="235">
        <v>631000</v>
      </c>
      <c r="FV30" s="235">
        <v>1024645</v>
      </c>
      <c r="FW30" s="232">
        <v>0</v>
      </c>
      <c r="FX30" s="232">
        <v>0</v>
      </c>
      <c r="FY30" s="232">
        <v>0</v>
      </c>
      <c r="FZ30" s="232"/>
    </row>
    <row r="31" spans="1:182" ht="35.25" customHeight="1" x14ac:dyDescent="0.3">
      <c r="A31" s="181" t="s">
        <v>217</v>
      </c>
      <c r="B31" s="181" t="s">
        <v>184</v>
      </c>
      <c r="C31" s="182" t="s">
        <v>218</v>
      </c>
      <c r="D31" s="183">
        <v>31.94</v>
      </c>
      <c r="E31" s="183"/>
      <c r="F31" s="183">
        <v>17.34</v>
      </c>
      <c r="G31" s="183">
        <v>2.75</v>
      </c>
      <c r="H31" s="183">
        <v>1.38</v>
      </c>
      <c r="I31" s="184"/>
      <c r="J31" s="183">
        <v>0.27</v>
      </c>
      <c r="K31" s="183">
        <v>0.04</v>
      </c>
      <c r="L31" s="183">
        <v>2.08</v>
      </c>
      <c r="M31" s="185">
        <v>1.25</v>
      </c>
      <c r="N31" s="186"/>
      <c r="O31" s="187">
        <v>3200</v>
      </c>
      <c r="P31" s="188">
        <v>1925</v>
      </c>
      <c r="Q31" s="187">
        <v>0</v>
      </c>
      <c r="R31" s="188">
        <v>0</v>
      </c>
      <c r="S31" s="187">
        <v>0</v>
      </c>
      <c r="T31" s="188">
        <v>0</v>
      </c>
      <c r="U31" s="187">
        <v>3150</v>
      </c>
      <c r="V31" s="188">
        <v>2320</v>
      </c>
      <c r="W31" s="187">
        <v>0</v>
      </c>
      <c r="X31" s="188">
        <v>0</v>
      </c>
      <c r="Y31" s="189"/>
      <c r="Z31" s="190">
        <v>18680.7</v>
      </c>
      <c r="AA31" s="191">
        <v>18680.7</v>
      </c>
      <c r="AB31" s="192">
        <f t="shared" si="5"/>
        <v>14082.8</v>
      </c>
      <c r="AC31" s="193">
        <v>13106.9</v>
      </c>
      <c r="AD31" s="193">
        <v>75.5</v>
      </c>
      <c r="AE31" s="193">
        <v>900.4</v>
      </c>
      <c r="AF31" s="194">
        <v>1500</v>
      </c>
      <c r="AG31" s="195"/>
      <c r="AH31" s="196">
        <v>2340</v>
      </c>
      <c r="AI31" s="196">
        <v>324</v>
      </c>
      <c r="AJ31" s="196"/>
      <c r="AK31" s="197">
        <v>2017</v>
      </c>
      <c r="AL31" s="197">
        <v>323</v>
      </c>
      <c r="AM31" s="198">
        <v>324</v>
      </c>
      <c r="AN31" s="198"/>
      <c r="AO31" s="198">
        <v>80</v>
      </c>
      <c r="AP31" s="198"/>
      <c r="AQ31" s="199">
        <v>8</v>
      </c>
      <c r="AR31" s="200" t="s">
        <v>219</v>
      </c>
      <c r="AS31" s="201">
        <v>10</v>
      </c>
      <c r="AT31" s="202">
        <v>10</v>
      </c>
      <c r="AU31" s="203" t="s">
        <v>187</v>
      </c>
      <c r="AV31" s="203" t="s">
        <v>188</v>
      </c>
      <c r="AW31" s="204">
        <f t="shared" si="6"/>
        <v>3</v>
      </c>
      <c r="AX31" s="205">
        <f t="shared" si="7"/>
        <v>0</v>
      </c>
      <c r="AY31" s="205">
        <f t="shared" si="59"/>
        <v>0</v>
      </c>
      <c r="AZ31" s="205">
        <f t="shared" si="8"/>
        <v>4672.2</v>
      </c>
      <c r="BA31" s="206"/>
      <c r="BB31" s="206"/>
      <c r="BC31" s="207"/>
      <c r="BD31" s="208" t="s">
        <v>189</v>
      </c>
      <c r="BE31" s="208" t="s">
        <v>189</v>
      </c>
      <c r="BF31" s="208" t="s">
        <v>189</v>
      </c>
      <c r="BG31" s="208" t="s">
        <v>189</v>
      </c>
      <c r="BH31" s="207" t="s">
        <v>190</v>
      </c>
      <c r="BI31" s="209" t="s">
        <v>190</v>
      </c>
      <c r="BJ31" s="209" t="s">
        <v>200</v>
      </c>
      <c r="BK31" s="181" t="s">
        <v>191</v>
      </c>
      <c r="BL31" s="181"/>
      <c r="BM31" s="201" t="s">
        <v>191</v>
      </c>
      <c r="BN31" s="181">
        <v>2</v>
      </c>
      <c r="BO31" s="181" t="s">
        <v>191</v>
      </c>
      <c r="BP31" s="181"/>
      <c r="BQ31" s="181" t="s">
        <v>192</v>
      </c>
      <c r="BR31" s="181"/>
      <c r="BS31" s="210">
        <f t="shared" si="9"/>
        <v>14082.8</v>
      </c>
      <c r="BT31" s="211">
        <f t="shared" si="34"/>
        <v>2.9734997298763513E-2</v>
      </c>
      <c r="BU31" s="211">
        <v>2.5999999999999999E-2</v>
      </c>
      <c r="BV31" s="211">
        <v>9.2216208633280373E-3</v>
      </c>
      <c r="BW31" s="211">
        <f t="shared" si="10"/>
        <v>42248.399999999994</v>
      </c>
      <c r="BX31" s="212">
        <f t="shared" si="35"/>
        <v>3</v>
      </c>
      <c r="BY31" s="213"/>
      <c r="BZ31" s="213"/>
      <c r="CA31" s="213">
        <v>3</v>
      </c>
      <c r="CB31" s="213"/>
      <c r="CC31" s="266">
        <v>25.26</v>
      </c>
      <c r="CD31" s="266"/>
      <c r="CE31" s="266"/>
      <c r="CF31" s="266"/>
      <c r="CG31" s="185"/>
      <c r="CH31" s="214">
        <f t="shared" si="36"/>
        <v>1373307</v>
      </c>
      <c r="CI31" s="215">
        <f t="shared" si="11"/>
        <v>1255903</v>
      </c>
      <c r="CJ31" s="215">
        <f t="shared" si="12"/>
        <v>7234</v>
      </c>
      <c r="CK31" s="215">
        <f t="shared" si="13"/>
        <v>46839</v>
      </c>
      <c r="CL31" s="215">
        <f t="shared" si="14"/>
        <v>108132</v>
      </c>
      <c r="CM31" s="215">
        <f t="shared" si="15"/>
        <v>623</v>
      </c>
      <c r="CN31" s="215">
        <f t="shared" si="16"/>
        <v>3728</v>
      </c>
      <c r="CO31" s="215"/>
      <c r="CP31" s="216">
        <f t="shared" si="37"/>
        <v>49152</v>
      </c>
      <c r="CQ31" s="214">
        <f t="shared" si="38"/>
        <v>1430769.3749999998</v>
      </c>
      <c r="CR31" s="217">
        <v>1335605.8799999999</v>
      </c>
      <c r="CS31" s="217">
        <v>7979.5949999999993</v>
      </c>
      <c r="CT31" s="217">
        <v>87183.9</v>
      </c>
      <c r="CU31" s="214">
        <f t="shared" si="39"/>
        <v>690593.87999999931</v>
      </c>
      <c r="CV31" s="218">
        <v>667707.66999999934</v>
      </c>
      <c r="CW31" s="218">
        <v>0</v>
      </c>
      <c r="CX31" s="218">
        <v>22886.21</v>
      </c>
      <c r="CY31" s="219">
        <f t="shared" si="40"/>
        <v>50567</v>
      </c>
      <c r="CZ31" s="219">
        <f t="shared" si="41"/>
        <v>-36616.899999999994</v>
      </c>
      <c r="DA31" s="215">
        <f t="shared" si="42"/>
        <v>10677.75</v>
      </c>
      <c r="DB31" s="215">
        <f t="shared" si="43"/>
        <v>0</v>
      </c>
      <c r="DC31" s="215">
        <f t="shared" si="44"/>
        <v>0</v>
      </c>
      <c r="DD31" s="217">
        <v>10074.69</v>
      </c>
      <c r="DE31" s="217">
        <v>8.58</v>
      </c>
      <c r="DF31" s="217">
        <v>131162.51999999999</v>
      </c>
      <c r="DG31" s="217">
        <v>4354.92</v>
      </c>
      <c r="DH31" s="218">
        <v>4919.58</v>
      </c>
      <c r="DI31" s="218">
        <v>5.72</v>
      </c>
      <c r="DJ31" s="218">
        <v>64086.19</v>
      </c>
      <c r="DK31" s="218">
        <v>2127.89</v>
      </c>
      <c r="DL31" s="215">
        <f t="shared" si="17"/>
        <v>6350</v>
      </c>
      <c r="DM31" s="218">
        <f t="shared" si="18"/>
        <v>4245</v>
      </c>
      <c r="DN31" s="220">
        <v>0</v>
      </c>
      <c r="DO31" s="220">
        <v>368286.3</v>
      </c>
      <c r="DP31" s="220">
        <v>173014.58</v>
      </c>
      <c r="DQ31" s="220">
        <v>0</v>
      </c>
      <c r="DR31" s="220">
        <v>0</v>
      </c>
      <c r="DS31" s="220">
        <v>0</v>
      </c>
      <c r="DT31" s="220">
        <v>0</v>
      </c>
      <c r="DU31" s="220">
        <v>84259.03</v>
      </c>
      <c r="DV31" s="220">
        <v>39567.43</v>
      </c>
      <c r="DW31" s="220">
        <v>558323.37</v>
      </c>
      <c r="DX31" s="220">
        <v>176531.88</v>
      </c>
      <c r="DY31" s="214">
        <f t="shared" si="19"/>
        <v>1918013.2579999999</v>
      </c>
      <c r="DZ31" s="221">
        <f t="shared" si="20"/>
        <v>164797</v>
      </c>
      <c r="EA31" s="222">
        <f t="shared" si="45"/>
        <v>190349.93</v>
      </c>
      <c r="EB31" s="223">
        <f t="shared" si="46"/>
        <v>0.13860697571628194</v>
      </c>
      <c r="EC31" s="224">
        <f t="shared" si="47"/>
        <v>-544706.25799999991</v>
      </c>
      <c r="ED31" s="225">
        <f t="shared" si="55"/>
        <v>20071</v>
      </c>
      <c r="EE31" s="225">
        <f t="shared" si="55"/>
        <v>12667</v>
      </c>
      <c r="EF31" s="225">
        <f t="shared" si="55"/>
        <v>2676</v>
      </c>
      <c r="EG31" s="225">
        <f t="shared" si="49"/>
        <v>241</v>
      </c>
      <c r="EH31" s="225">
        <v>779</v>
      </c>
      <c r="EI31" s="226"/>
      <c r="EJ31" s="227">
        <v>10901</v>
      </c>
      <c r="EK31" s="227">
        <v>6908</v>
      </c>
      <c r="EL31" s="227">
        <v>9165</v>
      </c>
      <c r="EM31" s="227">
        <v>3592</v>
      </c>
      <c r="EN31" s="227">
        <v>2245</v>
      </c>
      <c r="EO31" s="227">
        <v>1727</v>
      </c>
      <c r="EP31" s="227">
        <v>2826</v>
      </c>
      <c r="EQ31" s="227">
        <v>2041</v>
      </c>
      <c r="ER31" s="227">
        <v>0</v>
      </c>
      <c r="ES31" s="225">
        <f t="shared" si="21"/>
        <v>118215</v>
      </c>
      <c r="ET31" s="225">
        <f t="shared" si="22"/>
        <v>35700.93</v>
      </c>
      <c r="EU31" s="226"/>
      <c r="EV31" s="228">
        <f t="shared" si="23"/>
        <v>9491.3279999999995</v>
      </c>
      <c r="EW31" s="229">
        <f t="shared" si="24"/>
        <v>56309</v>
      </c>
      <c r="EX31" s="229">
        <f t="shared" si="50"/>
        <v>15968</v>
      </c>
      <c r="EY31" s="229">
        <f t="shared" si="50"/>
        <v>110938</v>
      </c>
      <c r="EZ31" s="229">
        <f t="shared" si="50"/>
        <v>64294</v>
      </c>
      <c r="FA31" s="230">
        <f t="shared" si="26"/>
        <v>56616</v>
      </c>
      <c r="FB31" s="231">
        <f t="shared" si="27"/>
        <v>56918</v>
      </c>
      <c r="FC31" s="226"/>
      <c r="FD31" s="232">
        <f t="shared" si="51"/>
        <v>30000</v>
      </c>
      <c r="FE31" s="230">
        <f t="shared" si="28"/>
        <v>48600</v>
      </c>
      <c r="FF31" s="225">
        <v>2400</v>
      </c>
      <c r="FG31" s="225">
        <f t="shared" si="29"/>
        <v>29160</v>
      </c>
      <c r="FH31" s="233"/>
      <c r="FI31" s="233">
        <f t="shared" si="60"/>
        <v>9600</v>
      </c>
      <c r="FJ31" s="233">
        <f t="shared" si="30"/>
        <v>0</v>
      </c>
      <c r="FK31" s="233">
        <f t="shared" si="31"/>
        <v>0</v>
      </c>
      <c r="FL31" s="225">
        <f t="shared" si="32"/>
        <v>18681</v>
      </c>
      <c r="FM31" s="225">
        <v>49933</v>
      </c>
      <c r="FN31" s="225">
        <v>138939</v>
      </c>
      <c r="FO31" s="224">
        <f t="shared" si="53"/>
        <v>138939</v>
      </c>
      <c r="FP31" s="232">
        <f t="shared" si="33"/>
        <v>30000</v>
      </c>
      <c r="FQ31" s="232">
        <v>27000</v>
      </c>
      <c r="FR31" s="232">
        <f t="shared" si="61"/>
        <v>2736</v>
      </c>
      <c r="FS31" s="234"/>
      <c r="FT31" s="235">
        <v>120687</v>
      </c>
      <c r="FU31" s="235">
        <v>329871</v>
      </c>
      <c r="FV31" s="235">
        <v>380583</v>
      </c>
      <c r="FW31" s="232"/>
      <c r="FX31" s="232"/>
      <c r="FY31" s="232"/>
      <c r="FZ31" s="232"/>
    </row>
    <row r="32" spans="1:182" ht="35.25" customHeight="1" x14ac:dyDescent="0.3">
      <c r="A32" s="181" t="s">
        <v>11</v>
      </c>
      <c r="B32" s="181" t="s">
        <v>184</v>
      </c>
      <c r="C32" s="182" t="s">
        <v>220</v>
      </c>
      <c r="D32" s="183">
        <v>31.94</v>
      </c>
      <c r="E32" s="183"/>
      <c r="F32" s="183">
        <v>16.89</v>
      </c>
      <c r="G32" s="183">
        <v>1.83</v>
      </c>
      <c r="H32" s="183">
        <v>0.92</v>
      </c>
      <c r="I32" s="184"/>
      <c r="J32" s="183">
        <v>0.27</v>
      </c>
      <c r="K32" s="183">
        <v>0.04</v>
      </c>
      <c r="L32" s="183">
        <v>2.08</v>
      </c>
      <c r="M32" s="185">
        <v>1.25</v>
      </c>
      <c r="N32" s="186"/>
      <c r="O32" s="187">
        <v>8000</v>
      </c>
      <c r="P32" s="188">
        <v>4813</v>
      </c>
      <c r="Q32" s="187">
        <v>15275.64</v>
      </c>
      <c r="R32" s="188">
        <v>11435</v>
      </c>
      <c r="S32" s="187">
        <v>6039.7300000000005</v>
      </c>
      <c r="T32" s="188">
        <v>2983</v>
      </c>
      <c r="U32" s="187">
        <v>2885.2999999999997</v>
      </c>
      <c r="V32" s="188">
        <v>2125</v>
      </c>
      <c r="W32" s="187">
        <v>0</v>
      </c>
      <c r="X32" s="188">
        <v>0</v>
      </c>
      <c r="Y32" s="189"/>
      <c r="Z32" s="190">
        <v>13040.1</v>
      </c>
      <c r="AA32" s="191">
        <f t="shared" ref="AA32" si="62">+AC32+AE32+AD32</f>
        <v>9756.1999999999989</v>
      </c>
      <c r="AB32" s="192">
        <f t="shared" si="5"/>
        <v>9756.1999999999989</v>
      </c>
      <c r="AC32" s="193">
        <v>9122.4</v>
      </c>
      <c r="AD32" s="193"/>
      <c r="AE32" s="193">
        <v>633.79999999999995</v>
      </c>
      <c r="AF32" s="194">
        <v>1200</v>
      </c>
      <c r="AG32" s="195">
        <v>1300</v>
      </c>
      <c r="AH32" s="196">
        <v>1630</v>
      </c>
      <c r="AI32" s="196">
        <v>217</v>
      </c>
      <c r="AJ32" s="196"/>
      <c r="AK32" s="197">
        <v>2017</v>
      </c>
      <c r="AL32" s="197">
        <v>217</v>
      </c>
      <c r="AM32" s="198">
        <v>217</v>
      </c>
      <c r="AN32" s="198"/>
      <c r="AO32" s="198">
        <v>175</v>
      </c>
      <c r="AP32" s="198"/>
      <c r="AQ32" s="199">
        <v>8</v>
      </c>
      <c r="AR32" s="200">
        <v>8</v>
      </c>
      <c r="AS32" s="201">
        <v>7</v>
      </c>
      <c r="AT32" s="202">
        <v>7</v>
      </c>
      <c r="AU32" s="203" t="s">
        <v>187</v>
      </c>
      <c r="AV32" s="203" t="s">
        <v>188</v>
      </c>
      <c r="AW32" s="204">
        <f t="shared" si="6"/>
        <v>3</v>
      </c>
      <c r="AX32" s="205">
        <f t="shared" si="7"/>
        <v>1300</v>
      </c>
      <c r="AY32" s="205">
        <f t="shared" si="59"/>
        <v>1950</v>
      </c>
      <c r="AZ32" s="205">
        <f t="shared" si="8"/>
        <v>2937</v>
      </c>
      <c r="BA32" s="206"/>
      <c r="BB32" s="206"/>
      <c r="BC32" s="207"/>
      <c r="BD32" s="208" t="s">
        <v>189</v>
      </c>
      <c r="BE32" s="208" t="s">
        <v>189</v>
      </c>
      <c r="BF32" s="208" t="s">
        <v>189</v>
      </c>
      <c r="BG32" s="208" t="s">
        <v>189</v>
      </c>
      <c r="BH32" s="207" t="s">
        <v>190</v>
      </c>
      <c r="BI32" s="209" t="s">
        <v>190</v>
      </c>
      <c r="BJ32" s="209" t="s">
        <v>200</v>
      </c>
      <c r="BK32" s="181" t="s">
        <v>191</v>
      </c>
      <c r="BL32" s="181"/>
      <c r="BM32" s="201" t="s">
        <v>191</v>
      </c>
      <c r="BN32" s="181">
        <v>1</v>
      </c>
      <c r="BO32" s="181" t="s">
        <v>191</v>
      </c>
      <c r="BP32" s="181"/>
      <c r="BQ32" s="181" t="s">
        <v>192</v>
      </c>
      <c r="BR32" s="181"/>
      <c r="BS32" s="210">
        <f t="shared" si="9"/>
        <v>9756.1999999999989</v>
      </c>
      <c r="BT32" s="211">
        <f t="shared" si="34"/>
        <v>3.4332729836656133E-2</v>
      </c>
      <c r="BU32" s="211">
        <v>1.7999999999999999E-2</v>
      </c>
      <c r="BV32" s="211">
        <v>8.5639133372647121E-3</v>
      </c>
      <c r="BW32" s="211">
        <f t="shared" si="10"/>
        <v>48780.999999999993</v>
      </c>
      <c r="BX32" s="212">
        <f t="shared" si="35"/>
        <v>5</v>
      </c>
      <c r="BY32" s="213"/>
      <c r="BZ32" s="213">
        <v>2</v>
      </c>
      <c r="CA32" s="213">
        <v>3</v>
      </c>
      <c r="CB32" s="213"/>
      <c r="CC32" s="186">
        <v>25.26</v>
      </c>
      <c r="CD32" s="186"/>
      <c r="CE32" s="186"/>
      <c r="CF32" s="186"/>
      <c r="CG32" s="186"/>
      <c r="CH32" s="214">
        <f t="shared" si="36"/>
        <v>1539741</v>
      </c>
      <c r="CI32" s="215">
        <f t="shared" si="11"/>
        <v>1456847</v>
      </c>
      <c r="CJ32" s="215">
        <f t="shared" si="12"/>
        <v>0</v>
      </c>
      <c r="CK32" s="215">
        <f t="shared" si="13"/>
        <v>53524</v>
      </c>
      <c r="CL32" s="215">
        <f t="shared" si="14"/>
        <v>83470</v>
      </c>
      <c r="CM32" s="215">
        <f t="shared" si="15"/>
        <v>0</v>
      </c>
      <c r="CN32" s="215">
        <f t="shared" si="16"/>
        <v>2915</v>
      </c>
      <c r="CO32" s="215"/>
      <c r="CP32" s="216">
        <f t="shared" si="37"/>
        <v>57015</v>
      </c>
      <c r="CQ32" s="214">
        <f t="shared" si="38"/>
        <v>1630908.4500000002</v>
      </c>
      <c r="CR32" s="217">
        <v>1574214.1</v>
      </c>
      <c r="CS32" s="217">
        <v>0</v>
      </c>
      <c r="CT32" s="217">
        <v>56694.35</v>
      </c>
      <c r="CU32" s="214">
        <f t="shared" si="39"/>
        <v>1083007.8500000006</v>
      </c>
      <c r="CV32" s="218">
        <v>1060144.0300000005</v>
      </c>
      <c r="CW32" s="218">
        <v>0</v>
      </c>
      <c r="CX32" s="218">
        <v>22863.82</v>
      </c>
      <c r="CY32" s="219">
        <f t="shared" si="40"/>
        <v>56439</v>
      </c>
      <c r="CZ32" s="219">
        <f t="shared" si="41"/>
        <v>-255.34999999999854</v>
      </c>
      <c r="DA32" s="215">
        <f t="shared" si="42"/>
        <v>12315.25</v>
      </c>
      <c r="DB32" s="215">
        <f t="shared" si="43"/>
        <v>0</v>
      </c>
      <c r="DC32" s="215">
        <f t="shared" si="44"/>
        <v>7628.6</v>
      </c>
      <c r="DD32" s="217">
        <v>22793.5</v>
      </c>
      <c r="DE32" s="217">
        <v>0</v>
      </c>
      <c r="DF32" s="217">
        <v>800391.8</v>
      </c>
      <c r="DG32" s="217">
        <v>9970.44</v>
      </c>
      <c r="DH32" s="218">
        <v>14861.22</v>
      </c>
      <c r="DI32" s="218">
        <v>0</v>
      </c>
      <c r="DJ32" s="218">
        <v>524805.44999999995</v>
      </c>
      <c r="DK32" s="218">
        <v>6525.97</v>
      </c>
      <c r="DL32" s="215">
        <f t="shared" si="17"/>
        <v>32200.67</v>
      </c>
      <c r="DM32" s="218">
        <f t="shared" si="18"/>
        <v>21356</v>
      </c>
      <c r="DN32" s="220"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v>99713.12</v>
      </c>
      <c r="DV32" s="220">
        <v>64705.18</v>
      </c>
      <c r="DW32" s="220">
        <v>763811.51</v>
      </c>
      <c r="DX32" s="220">
        <v>438259.39</v>
      </c>
      <c r="DY32" s="214">
        <f t="shared" si="19"/>
        <v>2328639.1999999997</v>
      </c>
      <c r="DZ32" s="221">
        <f t="shared" si="20"/>
        <v>184769</v>
      </c>
      <c r="EA32" s="222">
        <f t="shared" si="45"/>
        <v>296129.32</v>
      </c>
      <c r="EB32" s="223">
        <f t="shared" si="46"/>
        <v>0.19232411165254418</v>
      </c>
      <c r="EC32" s="224">
        <f t="shared" si="47"/>
        <v>-788898.19999999972</v>
      </c>
      <c r="ED32" s="225">
        <f t="shared" si="55"/>
        <v>23175</v>
      </c>
      <c r="EE32" s="225">
        <f t="shared" si="55"/>
        <v>14626</v>
      </c>
      <c r="EF32" s="225">
        <f t="shared" si="55"/>
        <v>3090</v>
      </c>
      <c r="EG32" s="225">
        <f t="shared" si="49"/>
        <v>278</v>
      </c>
      <c r="EH32" s="225">
        <v>862</v>
      </c>
      <c r="EI32" s="226"/>
      <c r="EJ32" s="227">
        <v>10797</v>
      </c>
      <c r="EK32" s="227">
        <v>6842</v>
      </c>
      <c r="EL32" s="227">
        <v>9079</v>
      </c>
      <c r="EM32" s="227">
        <v>3559</v>
      </c>
      <c r="EN32" s="227">
        <v>2223</v>
      </c>
      <c r="EO32" s="227">
        <v>1711</v>
      </c>
      <c r="EP32" s="227">
        <v>2799</v>
      </c>
      <c r="EQ32" s="227">
        <v>2022</v>
      </c>
      <c r="ER32" s="227">
        <v>0</v>
      </c>
      <c r="ES32" s="225">
        <f t="shared" si="21"/>
        <v>195160</v>
      </c>
      <c r="ET32" s="225">
        <f t="shared" si="22"/>
        <v>58938.32</v>
      </c>
      <c r="EU32" s="226"/>
      <c r="EV32" s="228">
        <f t="shared" si="23"/>
        <v>10946.88</v>
      </c>
      <c r="EW32" s="229">
        <f t="shared" si="24"/>
        <v>65367</v>
      </c>
      <c r="EX32" s="229">
        <f t="shared" si="50"/>
        <v>18537</v>
      </c>
      <c r="EY32" s="229">
        <f t="shared" si="50"/>
        <v>128782</v>
      </c>
      <c r="EZ32" s="229">
        <f t="shared" si="50"/>
        <v>74635</v>
      </c>
      <c r="FA32" s="230">
        <f t="shared" si="26"/>
        <v>71187</v>
      </c>
      <c r="FB32" s="231">
        <f t="shared" si="27"/>
        <v>52859</v>
      </c>
      <c r="FC32" s="226"/>
      <c r="FD32" s="232" t="s">
        <v>221</v>
      </c>
      <c r="FE32" s="230">
        <f t="shared" si="28"/>
        <v>32550</v>
      </c>
      <c r="FF32" s="225">
        <v>1600</v>
      </c>
      <c r="FG32" s="225">
        <f t="shared" si="29"/>
        <v>32550</v>
      </c>
      <c r="FH32" s="233">
        <v>3309</v>
      </c>
      <c r="FI32" s="233">
        <f t="shared" si="60"/>
        <v>11200</v>
      </c>
      <c r="FJ32" s="233">
        <f t="shared" si="30"/>
        <v>0</v>
      </c>
      <c r="FK32" s="233">
        <f t="shared" si="31"/>
        <v>0</v>
      </c>
      <c r="FL32" s="225">
        <f t="shared" si="32"/>
        <v>9756</v>
      </c>
      <c r="FM32" s="225">
        <v>43148</v>
      </c>
      <c r="FN32" s="225">
        <v>162096</v>
      </c>
      <c r="FO32" s="224">
        <f t="shared" si="53"/>
        <v>162096</v>
      </c>
      <c r="FP32" s="232">
        <f t="shared" si="33"/>
        <v>21000</v>
      </c>
      <c r="FQ32" s="232">
        <v>21000</v>
      </c>
      <c r="FR32" s="232">
        <f t="shared" si="61"/>
        <v>1916</v>
      </c>
      <c r="FS32" s="234"/>
      <c r="FT32" s="235">
        <v>142665</v>
      </c>
      <c r="FU32" s="235">
        <v>379800</v>
      </c>
      <c r="FV32" s="235">
        <v>585510</v>
      </c>
      <c r="FW32" s="232">
        <v>0</v>
      </c>
      <c r="FX32" s="232">
        <v>0</v>
      </c>
      <c r="FY32" s="232">
        <v>0</v>
      </c>
      <c r="FZ32" s="232"/>
    </row>
    <row r="33" spans="1:182" ht="35.25" customHeight="1" x14ac:dyDescent="0.3">
      <c r="A33" s="181" t="s">
        <v>11</v>
      </c>
      <c r="B33" s="181" t="s">
        <v>184</v>
      </c>
      <c r="C33" s="182" t="s">
        <v>222</v>
      </c>
      <c r="D33" s="183">
        <v>28.69</v>
      </c>
      <c r="E33" s="183"/>
      <c r="F33" s="183">
        <v>28.69</v>
      </c>
      <c r="G33" s="183">
        <v>1.83</v>
      </c>
      <c r="H33" s="183"/>
      <c r="I33" s="184"/>
      <c r="J33" s="183">
        <v>0.27</v>
      </c>
      <c r="K33" s="183">
        <v>0.04</v>
      </c>
      <c r="L33" s="183">
        <v>2.08</v>
      </c>
      <c r="M33" s="185" t="s">
        <v>223</v>
      </c>
      <c r="N33" s="186"/>
      <c r="O33" s="187">
        <v>8000</v>
      </c>
      <c r="P33" s="188">
        <v>4813</v>
      </c>
      <c r="Q33" s="187">
        <v>11659.380000000001</v>
      </c>
      <c r="R33" s="188">
        <v>8728</v>
      </c>
      <c r="S33" s="187">
        <v>2640.54</v>
      </c>
      <c r="T33" s="188">
        <v>1304</v>
      </c>
      <c r="U33" s="187">
        <v>4610.09</v>
      </c>
      <c r="V33" s="188">
        <v>3395</v>
      </c>
      <c r="W33" s="187">
        <v>0</v>
      </c>
      <c r="X33" s="188">
        <v>0</v>
      </c>
      <c r="Y33" s="189"/>
      <c r="Z33" s="190">
        <v>21635</v>
      </c>
      <c r="AA33" s="191">
        <f>+AC33+AE33+AD33</f>
        <v>14162.300000000001</v>
      </c>
      <c r="AB33" s="192">
        <f>+SUM(AC33:AE33)</f>
        <v>14162.300000000001</v>
      </c>
      <c r="AC33" s="193">
        <v>14063.7</v>
      </c>
      <c r="AD33" s="193">
        <v>98.6</v>
      </c>
      <c r="AE33" s="193"/>
      <c r="AF33" s="194">
        <v>1600</v>
      </c>
      <c r="AG33" s="195">
        <v>1300</v>
      </c>
      <c r="AH33" s="196">
        <v>1630</v>
      </c>
      <c r="AI33" s="196">
        <v>217</v>
      </c>
      <c r="AJ33" s="196"/>
      <c r="AK33" s="197">
        <v>2017</v>
      </c>
      <c r="AL33" s="197">
        <v>297</v>
      </c>
      <c r="AM33" s="198">
        <v>297</v>
      </c>
      <c r="AN33" s="198"/>
      <c r="AO33" s="198"/>
      <c r="AP33" s="198"/>
      <c r="AQ33" s="199">
        <v>9</v>
      </c>
      <c r="AR33" s="200" t="s">
        <v>224</v>
      </c>
      <c r="AS33" s="201">
        <v>9</v>
      </c>
      <c r="AT33" s="202">
        <v>9</v>
      </c>
      <c r="AU33" s="203" t="s">
        <v>187</v>
      </c>
      <c r="AV33" s="203" t="s">
        <v>188</v>
      </c>
      <c r="AW33" s="204">
        <f>+IF(LEFT(AV33,4)="шифе",4,IF(LEFT(AV33,4)="мягк",2,3))</f>
        <v>3</v>
      </c>
      <c r="AX33" s="205">
        <f t="shared" si="7"/>
        <v>1300</v>
      </c>
      <c r="AY33" s="205">
        <f>+IF(AV33="мягкая",AX33,ROUND(AX33*$AY$6,1))</f>
        <v>1950</v>
      </c>
      <c r="AZ33" s="205">
        <f t="shared" si="8"/>
        <v>4520.8999999999996</v>
      </c>
      <c r="BA33" s="206"/>
      <c r="BB33" s="206"/>
      <c r="BC33" s="207"/>
      <c r="BD33" s="208" t="s">
        <v>189</v>
      </c>
      <c r="BE33" s="208" t="s">
        <v>189</v>
      </c>
      <c r="BF33" s="208" t="s">
        <v>189</v>
      </c>
      <c r="BG33" s="208" t="s">
        <v>189</v>
      </c>
      <c r="BH33" s="207" t="s">
        <v>190</v>
      </c>
      <c r="BI33" s="209" t="s">
        <v>190</v>
      </c>
      <c r="BJ33" s="209" t="s">
        <v>225</v>
      </c>
      <c r="BK33" s="181" t="s">
        <v>191</v>
      </c>
      <c r="BL33" s="181"/>
      <c r="BM33" s="201" t="s">
        <v>191</v>
      </c>
      <c r="BN33" s="181">
        <v>1</v>
      </c>
      <c r="BO33" s="181" t="s">
        <v>191</v>
      </c>
      <c r="BP33" s="181"/>
      <c r="BQ33" s="181" t="s">
        <v>192</v>
      </c>
      <c r="BR33" s="181"/>
      <c r="BS33" s="210">
        <f t="shared" si="9"/>
        <v>14162.300000000001</v>
      </c>
      <c r="BT33" s="211">
        <f t="shared" si="34"/>
        <v>4.9838094725987082E-2</v>
      </c>
      <c r="BU33" s="211">
        <v>2.5999999999999999E-2</v>
      </c>
      <c r="BV33" s="211">
        <v>1.2345001947611749E-2</v>
      </c>
      <c r="BW33" s="211">
        <f t="shared" si="10"/>
        <v>70811.5</v>
      </c>
      <c r="BX33" s="212">
        <f>+SUM(BY33:CB33)</f>
        <v>5</v>
      </c>
      <c r="BY33" s="213"/>
      <c r="BZ33" s="213">
        <v>2</v>
      </c>
      <c r="CA33" s="213">
        <v>3</v>
      </c>
      <c r="CB33" s="213"/>
      <c r="CC33" s="266">
        <v>25.26</v>
      </c>
      <c r="CD33" s="266"/>
      <c r="CE33" s="266"/>
      <c r="CF33" s="266"/>
      <c r="CG33" s="185"/>
      <c r="CH33" s="214">
        <f>+SUM(CI33:CO33)-CP33</f>
        <v>2161167</v>
      </c>
      <c r="CI33" s="215">
        <f t="shared" si="11"/>
        <v>2017438</v>
      </c>
      <c r="CJ33" s="215">
        <f t="shared" si="12"/>
        <v>14144</v>
      </c>
      <c r="CK33" s="215">
        <f t="shared" si="13"/>
        <v>0</v>
      </c>
      <c r="CL33" s="215">
        <f t="shared" si="14"/>
        <v>128683</v>
      </c>
      <c r="CM33" s="215">
        <f t="shared" si="15"/>
        <v>902</v>
      </c>
      <c r="CN33" s="215">
        <f t="shared" si="16"/>
        <v>0</v>
      </c>
      <c r="CO33" s="215"/>
      <c r="CP33" s="216">
        <f t="shared" si="37"/>
        <v>0</v>
      </c>
      <c r="CQ33" s="214">
        <f t="shared" si="38"/>
        <v>2010234.69</v>
      </c>
      <c r="CR33" s="217">
        <v>1890647.89</v>
      </c>
      <c r="CS33" s="217">
        <v>14144.17</v>
      </c>
      <c r="CT33" s="217">
        <v>105442.63</v>
      </c>
      <c r="CU33" s="214">
        <f t="shared" si="39"/>
        <v>1358035.4300000006</v>
      </c>
      <c r="CV33" s="218">
        <v>1299023.0600000008</v>
      </c>
      <c r="CW33" s="218">
        <v>4352.8999999999996</v>
      </c>
      <c r="CX33" s="218">
        <v>54659.47</v>
      </c>
      <c r="CY33" s="219">
        <f t="shared" si="40"/>
        <v>0</v>
      </c>
      <c r="CZ33" s="219">
        <f t="shared" si="41"/>
        <v>-105442.63</v>
      </c>
      <c r="DA33" s="215">
        <f t="shared" si="42"/>
        <v>19119.100000000002</v>
      </c>
      <c r="DB33" s="215">
        <f t="shared" si="43"/>
        <v>0</v>
      </c>
      <c r="DC33" s="215">
        <f t="shared" si="44"/>
        <v>6656</v>
      </c>
      <c r="DD33" s="217">
        <v>15151.13</v>
      </c>
      <c r="DE33" s="217">
        <v>17.03</v>
      </c>
      <c r="DF33" s="217">
        <v>939705.18</v>
      </c>
      <c r="DG33" s="217">
        <v>6646.83</v>
      </c>
      <c r="DH33" s="218">
        <v>10258.969999999999</v>
      </c>
      <c r="DI33" s="218">
        <v>13.6</v>
      </c>
      <c r="DJ33" s="218">
        <v>664351.16</v>
      </c>
      <c r="DK33" s="218">
        <v>4511.97</v>
      </c>
      <c r="DL33" s="215">
        <f t="shared" si="17"/>
        <v>26910.010000000002</v>
      </c>
      <c r="DM33" s="218">
        <f t="shared" si="18"/>
        <v>18240</v>
      </c>
      <c r="DN33" s="220">
        <v>618841.65</v>
      </c>
      <c r="DO33" s="220">
        <v>609608.85</v>
      </c>
      <c r="DP33" s="220">
        <v>417829.48</v>
      </c>
      <c r="DQ33" s="220">
        <v>303382.53999999998</v>
      </c>
      <c r="DR33" s="220">
        <v>219408.28</v>
      </c>
      <c r="DS33" s="220">
        <v>0</v>
      </c>
      <c r="DT33" s="220">
        <v>0</v>
      </c>
      <c r="DU33" s="220">
        <v>223681</v>
      </c>
      <c r="DV33" s="220">
        <v>161026.96</v>
      </c>
      <c r="DW33" s="220">
        <v>983011.47</v>
      </c>
      <c r="DX33" s="220">
        <v>612367.74</v>
      </c>
      <c r="DY33" s="214">
        <f t="shared" si="19"/>
        <v>3275356.7699999996</v>
      </c>
      <c r="DZ33" s="221">
        <f t="shared" si="20"/>
        <v>259340</v>
      </c>
      <c r="EA33" s="222">
        <f t="shared" si="45"/>
        <v>427848.01</v>
      </c>
      <c r="EB33" s="223">
        <f t="shared" si="46"/>
        <v>0.19797082317099976</v>
      </c>
      <c r="EC33" s="224">
        <f t="shared" si="47"/>
        <v>-1114189.7699999996</v>
      </c>
      <c r="ED33" s="225">
        <f t="shared" si="55"/>
        <v>33641</v>
      </c>
      <c r="EE33" s="225">
        <f t="shared" si="55"/>
        <v>21231</v>
      </c>
      <c r="EF33" s="225">
        <f t="shared" si="55"/>
        <v>4485</v>
      </c>
      <c r="EG33" s="225">
        <f t="shared" si="49"/>
        <v>404</v>
      </c>
      <c r="EH33" s="225">
        <v>1242</v>
      </c>
      <c r="EI33" s="226"/>
      <c r="EJ33" s="227">
        <v>15590</v>
      </c>
      <c r="EK33" s="227">
        <v>9878</v>
      </c>
      <c r="EL33" s="227">
        <v>13107</v>
      </c>
      <c r="EM33" s="227">
        <v>5137</v>
      </c>
      <c r="EN33" s="227">
        <v>3209</v>
      </c>
      <c r="EO33" s="227">
        <v>2470</v>
      </c>
      <c r="EP33" s="227">
        <v>4041</v>
      </c>
      <c r="EQ33" s="227">
        <v>2919</v>
      </c>
      <c r="ER33" s="227">
        <v>0</v>
      </c>
      <c r="ES33" s="225">
        <f t="shared" si="21"/>
        <v>281755</v>
      </c>
      <c r="ET33" s="225">
        <f>+ROUND(ES33*0.302,2)</f>
        <v>85090.01</v>
      </c>
      <c r="EU33" s="226"/>
      <c r="EV33" s="228">
        <f t="shared" si="23"/>
        <v>16994.760000000002</v>
      </c>
      <c r="EW33" s="229">
        <f t="shared" si="24"/>
        <v>94227</v>
      </c>
      <c r="EX33" s="229">
        <f t="shared" si="50"/>
        <v>26721</v>
      </c>
      <c r="EY33" s="229">
        <f t="shared" si="50"/>
        <v>185641</v>
      </c>
      <c r="EZ33" s="229">
        <f t="shared" si="50"/>
        <v>107587</v>
      </c>
      <c r="FA33" s="230">
        <f t="shared" si="26"/>
        <v>111969</v>
      </c>
      <c r="FB33" s="231">
        <f t="shared" si="27"/>
        <v>76196</v>
      </c>
      <c r="FC33" s="226"/>
      <c r="FD33" s="232">
        <f t="shared" si="51"/>
        <v>45000</v>
      </c>
      <c r="FE33" s="230">
        <f t="shared" si="28"/>
        <v>44550</v>
      </c>
      <c r="FF33" s="225">
        <v>1600</v>
      </c>
      <c r="FG33" s="225">
        <f t="shared" si="29"/>
        <v>44550</v>
      </c>
      <c r="FH33" s="233">
        <v>6685</v>
      </c>
      <c r="FI33" s="233">
        <f t="shared" si="60"/>
        <v>16200</v>
      </c>
      <c r="FJ33" s="233">
        <f t="shared" si="30"/>
        <v>0</v>
      </c>
      <c r="FK33" s="233">
        <f t="shared" si="31"/>
        <v>0</v>
      </c>
      <c r="FL33" s="225">
        <f t="shared" si="32"/>
        <v>14162</v>
      </c>
      <c r="FM33" s="225">
        <v>43148</v>
      </c>
      <c r="FN33" s="225">
        <v>208409</v>
      </c>
      <c r="FO33" s="224">
        <f>+FN33-4183</f>
        <v>204226</v>
      </c>
      <c r="FP33" s="232">
        <f t="shared" si="33"/>
        <v>27000</v>
      </c>
      <c r="FQ33" s="232"/>
      <c r="FR33" s="232">
        <f t="shared" si="61"/>
        <v>2463</v>
      </c>
      <c r="FS33" s="234"/>
      <c r="FT33" s="235">
        <v>250740</v>
      </c>
      <c r="FU33" s="235">
        <v>587550</v>
      </c>
      <c r="FV33" s="235">
        <v>731890</v>
      </c>
      <c r="FW33" s="232">
        <v>0</v>
      </c>
      <c r="FX33" s="232">
        <v>0</v>
      </c>
      <c r="FY33" s="232">
        <v>0</v>
      </c>
      <c r="FZ33" s="232"/>
    </row>
    <row r="34" spans="1:182" ht="35.25" customHeight="1" x14ac:dyDescent="0.3">
      <c r="A34" s="181" t="s">
        <v>203</v>
      </c>
      <c r="B34" s="181" t="s">
        <v>184</v>
      </c>
      <c r="C34" s="182" t="s">
        <v>226</v>
      </c>
      <c r="D34" s="183">
        <v>30.770000000000003</v>
      </c>
      <c r="E34" s="183"/>
      <c r="F34" s="183">
        <v>30.770000000000003</v>
      </c>
      <c r="G34" s="183">
        <v>1.83</v>
      </c>
      <c r="H34" s="183">
        <v>1.83</v>
      </c>
      <c r="I34" s="184"/>
      <c r="J34" s="183">
        <v>0.27</v>
      </c>
      <c r="K34" s="183">
        <v>0.04</v>
      </c>
      <c r="L34" s="183">
        <v>2.08</v>
      </c>
      <c r="M34" s="185">
        <v>1.25</v>
      </c>
      <c r="N34" s="186"/>
      <c r="O34" s="187">
        <v>0</v>
      </c>
      <c r="P34" s="188"/>
      <c r="Q34" s="187">
        <v>0</v>
      </c>
      <c r="R34" s="188"/>
      <c r="S34" s="187">
        <v>0</v>
      </c>
      <c r="T34" s="188"/>
      <c r="U34" s="187">
        <v>840</v>
      </c>
      <c r="V34" s="188"/>
      <c r="W34" s="187">
        <v>0</v>
      </c>
      <c r="X34" s="188">
        <v>0</v>
      </c>
      <c r="Y34" s="189">
        <v>83043.7</v>
      </c>
      <c r="Z34" s="190">
        <v>63171.5</v>
      </c>
      <c r="AA34" s="191">
        <v>17838.400000000001</v>
      </c>
      <c r="AB34" s="192">
        <f>+SUM(AC34:AE34)</f>
        <v>11636.6</v>
      </c>
      <c r="AC34" s="193">
        <v>10813.1</v>
      </c>
      <c r="AD34" s="193">
        <v>248.9</v>
      </c>
      <c r="AE34" s="193">
        <v>574.6</v>
      </c>
      <c r="AF34" s="194">
        <v>1450</v>
      </c>
      <c r="AG34" s="195">
        <v>1200</v>
      </c>
      <c r="AH34" s="196">
        <v>1500</v>
      </c>
      <c r="AI34" s="196">
        <v>200</v>
      </c>
      <c r="AJ34" s="196"/>
      <c r="AK34" s="197">
        <v>2017</v>
      </c>
      <c r="AL34" s="197">
        <f>+AM34</f>
        <v>237</v>
      </c>
      <c r="AM34" s="198">
        <v>237</v>
      </c>
      <c r="AN34" s="198"/>
      <c r="AO34" s="198">
        <v>159</v>
      </c>
      <c r="AP34" s="198"/>
      <c r="AQ34" s="199">
        <v>7</v>
      </c>
      <c r="AR34" s="200" t="s">
        <v>227</v>
      </c>
      <c r="AS34" s="201">
        <v>8</v>
      </c>
      <c r="AT34" s="202">
        <v>8</v>
      </c>
      <c r="AU34" s="203" t="s">
        <v>187</v>
      </c>
      <c r="AV34" s="203" t="s">
        <v>188</v>
      </c>
      <c r="AW34" s="204">
        <f t="shared" ref="AW34" si="63">+IF(LEFT(AV34,4)="шифе",4,IF(LEFT(AV34,4)="мягк",2,3))</f>
        <v>3</v>
      </c>
      <c r="AX34" s="205">
        <f t="shared" si="7"/>
        <v>1200</v>
      </c>
      <c r="AY34" s="205">
        <f>+IF(AV34="мягкая",AX34,ROUND(AX34*$AY$6,1))</f>
        <v>1800</v>
      </c>
      <c r="AZ34" s="205">
        <f t="shared" si="8"/>
        <v>17708.099999999999</v>
      </c>
      <c r="BA34" s="206"/>
      <c r="BB34" s="206"/>
      <c r="BC34" s="207"/>
      <c r="BD34" s="208" t="s">
        <v>189</v>
      </c>
      <c r="BE34" s="208" t="s">
        <v>189</v>
      </c>
      <c r="BF34" s="208" t="s">
        <v>189</v>
      </c>
      <c r="BG34" s="208" t="s">
        <v>189</v>
      </c>
      <c r="BH34" s="207" t="s">
        <v>190</v>
      </c>
      <c r="BI34" s="209" t="s">
        <v>190</v>
      </c>
      <c r="BJ34" s="209" t="s">
        <v>200</v>
      </c>
      <c r="BK34" s="181" t="s">
        <v>191</v>
      </c>
      <c r="BL34" s="181"/>
      <c r="BM34" s="201" t="s">
        <v>191</v>
      </c>
      <c r="BN34" s="181">
        <v>1</v>
      </c>
      <c r="BO34" s="181" t="s">
        <v>191</v>
      </c>
      <c r="BP34" s="181"/>
      <c r="BQ34" s="181" t="s">
        <v>192</v>
      </c>
      <c r="BR34" s="181"/>
      <c r="BS34" s="210">
        <f t="shared" si="9"/>
        <v>11636.6</v>
      </c>
      <c r="BT34" s="211">
        <f t="shared" si="34"/>
        <v>8.1899970073846945E-3</v>
      </c>
      <c r="BU34" s="211">
        <v>2.1000000000000001E-2</v>
      </c>
      <c r="BV34" s="211">
        <v>4.998015411265112E-3</v>
      </c>
      <c r="BW34" s="211">
        <f t="shared" si="10"/>
        <v>11636.6</v>
      </c>
      <c r="BX34" s="212">
        <f>+SUM(BY34:CB34)</f>
        <v>1</v>
      </c>
      <c r="BY34" s="213"/>
      <c r="BZ34" s="213"/>
      <c r="CA34" s="213">
        <v>1</v>
      </c>
      <c r="CB34" s="213"/>
      <c r="CC34" s="266">
        <v>25.26</v>
      </c>
      <c r="CD34" s="266"/>
      <c r="CE34" s="266"/>
      <c r="CF34" s="266"/>
      <c r="CG34" s="185"/>
      <c r="CH34" s="214">
        <f>+SUM(CI34:CO34)-CP34</f>
        <v>365837</v>
      </c>
      <c r="CI34" s="215">
        <f t="shared" si="11"/>
        <v>332719</v>
      </c>
      <c r="CJ34" s="215">
        <f t="shared" si="12"/>
        <v>7659</v>
      </c>
      <c r="CK34" s="215">
        <f t="shared" si="13"/>
        <v>17680</v>
      </c>
      <c r="CL34" s="215">
        <f t="shared" si="14"/>
        <v>19788</v>
      </c>
      <c r="CM34" s="215">
        <f t="shared" si="15"/>
        <v>455</v>
      </c>
      <c r="CN34" s="215">
        <f t="shared" si="16"/>
        <v>1052</v>
      </c>
      <c r="CO34" s="215"/>
      <c r="CP34" s="216">
        <f t="shared" si="37"/>
        <v>13516</v>
      </c>
      <c r="CQ34" s="214">
        <f t="shared" si="38"/>
        <v>395581.44</v>
      </c>
      <c r="CR34" s="217">
        <v>352507.06</v>
      </c>
      <c r="CS34" s="217">
        <v>24342.420000000002</v>
      </c>
      <c r="CT34" s="217">
        <v>18731.96</v>
      </c>
      <c r="CU34" s="214">
        <f t="shared" si="39"/>
        <v>3318.6800000000003</v>
      </c>
      <c r="CV34" s="218">
        <v>3211.1000000000004</v>
      </c>
      <c r="CW34" s="218">
        <v>0</v>
      </c>
      <c r="CX34" s="218">
        <v>107.58</v>
      </c>
      <c r="CY34" s="219">
        <f t="shared" si="40"/>
        <v>18732</v>
      </c>
      <c r="CZ34" s="219">
        <f t="shared" si="41"/>
        <v>4.0000000000873115E-2</v>
      </c>
      <c r="DA34" s="215">
        <f t="shared" si="42"/>
        <v>2986.74</v>
      </c>
      <c r="DB34" s="215">
        <f t="shared" si="43"/>
        <v>0</v>
      </c>
      <c r="DC34" s="215">
        <f t="shared" si="44"/>
        <v>0</v>
      </c>
      <c r="DD34" s="217">
        <v>3968.4</v>
      </c>
      <c r="DE34" s="217">
        <v>13.39</v>
      </c>
      <c r="DF34" s="217">
        <v>218173.41</v>
      </c>
      <c r="DG34" s="217">
        <v>1715.64</v>
      </c>
      <c r="DH34" s="218">
        <v>34.64</v>
      </c>
      <c r="DI34" s="218">
        <v>0</v>
      </c>
      <c r="DJ34" s="218">
        <v>1871.89</v>
      </c>
      <c r="DK34" s="218">
        <v>15</v>
      </c>
      <c r="DL34" s="215">
        <f t="shared" si="17"/>
        <v>840</v>
      </c>
      <c r="DM34" s="218">
        <f t="shared" si="18"/>
        <v>0</v>
      </c>
      <c r="DN34" s="220">
        <v>0</v>
      </c>
      <c r="DO34" s="220">
        <v>101316.46</v>
      </c>
      <c r="DP34" s="220">
        <v>922.92</v>
      </c>
      <c r="DQ34" s="220">
        <v>73966.320000000007</v>
      </c>
      <c r="DR34" s="220">
        <v>579.70000000000005</v>
      </c>
      <c r="DS34" s="220">
        <v>0</v>
      </c>
      <c r="DT34" s="220">
        <v>0</v>
      </c>
      <c r="DU34" s="220">
        <v>54553.82</v>
      </c>
      <c r="DV34" s="220">
        <v>428.24</v>
      </c>
      <c r="DW34" s="220">
        <v>547114.93999999994</v>
      </c>
      <c r="DX34" s="220">
        <v>4696.34</v>
      </c>
      <c r="DY34" s="214">
        <f t="shared" si="19"/>
        <v>606483.04</v>
      </c>
      <c r="DZ34" s="221">
        <f t="shared" si="20"/>
        <v>43900</v>
      </c>
      <c r="EA34" s="222">
        <f t="shared" si="45"/>
        <v>53371.16</v>
      </c>
      <c r="EB34" s="223">
        <f t="shared" si="46"/>
        <v>0.14588781342510462</v>
      </c>
      <c r="EC34" s="224">
        <f t="shared" si="47"/>
        <v>-240646.04000000004</v>
      </c>
      <c r="ED34" s="225">
        <f t="shared" si="55"/>
        <v>5528</v>
      </c>
      <c r="EE34" s="225">
        <f t="shared" si="55"/>
        <v>3489</v>
      </c>
      <c r="EF34" s="225">
        <f t="shared" si="55"/>
        <v>737</v>
      </c>
      <c r="EG34" s="225">
        <f t="shared" si="49"/>
        <v>66</v>
      </c>
      <c r="EH34" s="225">
        <v>744</v>
      </c>
      <c r="EI34" s="226"/>
      <c r="EJ34" s="227">
        <v>9097</v>
      </c>
      <c r="EK34" s="227">
        <v>5764</v>
      </c>
      <c r="EL34" s="227">
        <v>7645</v>
      </c>
      <c r="EM34" s="227">
        <v>2997</v>
      </c>
      <c r="EN34" s="227">
        <v>1873</v>
      </c>
      <c r="EO34" s="227">
        <v>1441</v>
      </c>
      <c r="EP34" s="227">
        <v>2358</v>
      </c>
      <c r="EQ34" s="227">
        <v>1703</v>
      </c>
      <c r="ER34" s="227">
        <v>0</v>
      </c>
      <c r="ES34" s="225">
        <f t="shared" si="21"/>
        <v>32878</v>
      </c>
      <c r="ET34" s="225">
        <f>+ROUND(ES34*0.302,2)</f>
        <v>9929.16</v>
      </c>
      <c r="EU34" s="226"/>
      <c r="EV34" s="228">
        <f t="shared" si="23"/>
        <v>2654.88</v>
      </c>
      <c r="EW34" s="229">
        <f t="shared" si="24"/>
        <v>15260</v>
      </c>
      <c r="EX34" s="229">
        <f t="shared" si="50"/>
        <v>4327</v>
      </c>
      <c r="EY34" s="229">
        <f t="shared" si="50"/>
        <v>30064</v>
      </c>
      <c r="EZ34" s="229">
        <f t="shared" si="50"/>
        <v>17423</v>
      </c>
      <c r="FA34" s="230">
        <f t="shared" si="26"/>
        <v>20731</v>
      </c>
      <c r="FB34" s="231">
        <f t="shared" si="27"/>
        <v>30849</v>
      </c>
      <c r="FC34" s="226"/>
      <c r="FD34" s="232">
        <f t="shared" si="51"/>
        <v>8000</v>
      </c>
      <c r="FE34" s="230">
        <f t="shared" si="28"/>
        <v>35550</v>
      </c>
      <c r="FF34" s="225">
        <v>400</v>
      </c>
      <c r="FG34" s="225">
        <f t="shared" si="29"/>
        <v>7110</v>
      </c>
      <c r="FH34" s="233">
        <v>0</v>
      </c>
      <c r="FI34" s="233">
        <f t="shared" si="60"/>
        <v>2240</v>
      </c>
      <c r="FJ34" s="233">
        <f t="shared" si="30"/>
        <v>0</v>
      </c>
      <c r="FK34" s="233">
        <f t="shared" si="31"/>
        <v>0</v>
      </c>
      <c r="FL34" s="225">
        <f t="shared" si="32"/>
        <v>17838</v>
      </c>
      <c r="FM34" s="225">
        <v>8300</v>
      </c>
      <c r="FN34" s="225">
        <v>37050</v>
      </c>
      <c r="FO34" s="224">
        <f t="shared" si="53"/>
        <v>37050</v>
      </c>
      <c r="FP34" s="232">
        <f t="shared" si="33"/>
        <v>24000</v>
      </c>
      <c r="FQ34" s="232"/>
      <c r="FR34" s="232">
        <f t="shared" si="61"/>
        <v>2189</v>
      </c>
      <c r="FS34" s="234"/>
      <c r="FT34" s="235">
        <v>35074</v>
      </c>
      <c r="FU34" s="235">
        <v>87002</v>
      </c>
      <c r="FV34" s="235">
        <v>130000</v>
      </c>
      <c r="FW34" s="232"/>
      <c r="FX34" s="232"/>
      <c r="FY34" s="232"/>
      <c r="FZ34" s="232"/>
    </row>
    <row r="35" spans="1:182" x14ac:dyDescent="0.3">
      <c r="A35" s="181"/>
      <c r="B35" s="181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5"/>
      <c r="N35" s="186"/>
      <c r="O35" s="187"/>
      <c r="P35" s="188"/>
      <c r="Q35" s="187"/>
      <c r="R35" s="188"/>
      <c r="S35" s="187"/>
      <c r="T35" s="188"/>
      <c r="U35" s="187"/>
      <c r="V35" s="188"/>
      <c r="W35" s="187"/>
      <c r="X35" s="188"/>
      <c r="Y35" s="189"/>
      <c r="Z35" s="190"/>
      <c r="AA35" s="191"/>
      <c r="AB35" s="192"/>
      <c r="AC35" s="193"/>
      <c r="AD35" s="193"/>
      <c r="AE35" s="193"/>
      <c r="AF35" s="194"/>
      <c r="AG35" s="195"/>
      <c r="AH35" s="196"/>
      <c r="AI35" s="196"/>
      <c r="AJ35" s="196"/>
      <c r="AK35" s="197"/>
      <c r="AL35" s="197"/>
      <c r="AM35" s="198"/>
      <c r="AN35" s="198"/>
      <c r="AO35" s="198"/>
      <c r="AP35" s="198"/>
      <c r="AQ35" s="199"/>
      <c r="AR35" s="200"/>
      <c r="AS35" s="201"/>
      <c r="AT35" s="202"/>
      <c r="AU35" s="203"/>
      <c r="AV35" s="203"/>
      <c r="AW35" s="204"/>
      <c r="AX35" s="205"/>
      <c r="AY35" s="205"/>
      <c r="AZ35" s="205"/>
      <c r="BA35" s="206"/>
      <c r="BB35" s="206"/>
      <c r="BC35" s="207"/>
      <c r="BD35" s="208"/>
      <c r="BE35" s="208"/>
      <c r="BF35" s="208"/>
      <c r="BG35" s="208"/>
      <c r="BH35" s="207"/>
      <c r="BI35" s="209"/>
      <c r="BJ35" s="209"/>
      <c r="BK35" s="181"/>
      <c r="BL35" s="181"/>
      <c r="BM35" s="201"/>
      <c r="BN35" s="181"/>
      <c r="BO35" s="181"/>
      <c r="BP35" s="181"/>
      <c r="BQ35" s="181"/>
      <c r="BR35" s="181"/>
      <c r="BS35" s="210"/>
      <c r="BT35" s="211"/>
      <c r="BU35" s="211"/>
      <c r="BV35" s="211"/>
      <c r="BW35" s="211"/>
      <c r="BX35" s="212"/>
      <c r="BY35" s="213"/>
      <c r="BZ35" s="213"/>
      <c r="CA35" s="213"/>
      <c r="CB35" s="213"/>
      <c r="CC35" s="266">
        <v>25.26</v>
      </c>
      <c r="CD35" s="266"/>
      <c r="CE35" s="266"/>
      <c r="CF35" s="266"/>
      <c r="CG35" s="185"/>
      <c r="CH35" s="214"/>
      <c r="CI35" s="215"/>
      <c r="CJ35" s="215"/>
      <c r="CK35" s="215"/>
      <c r="CL35" s="215"/>
      <c r="CM35" s="215"/>
      <c r="CN35" s="215"/>
      <c r="CO35" s="215"/>
      <c r="CP35" s="216"/>
      <c r="CQ35" s="214"/>
      <c r="CR35" s="217"/>
      <c r="CS35" s="217"/>
      <c r="CT35" s="217"/>
      <c r="CU35" s="214"/>
      <c r="CV35" s="218"/>
      <c r="CW35" s="218"/>
      <c r="CX35" s="218"/>
      <c r="CY35" s="219"/>
      <c r="CZ35" s="219"/>
      <c r="DA35" s="215"/>
      <c r="DB35" s="215"/>
      <c r="DC35" s="215"/>
      <c r="DD35" s="217"/>
      <c r="DE35" s="217"/>
      <c r="DF35" s="217"/>
      <c r="DG35" s="217"/>
      <c r="DH35" s="218"/>
      <c r="DI35" s="218"/>
      <c r="DJ35" s="218"/>
      <c r="DK35" s="218"/>
      <c r="DL35" s="215"/>
      <c r="DM35" s="218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14"/>
      <c r="DZ35" s="221"/>
      <c r="EA35" s="222"/>
      <c r="EB35" s="223"/>
      <c r="EC35" s="224"/>
      <c r="ED35" s="225"/>
      <c r="EE35" s="225"/>
      <c r="EF35" s="225"/>
      <c r="EG35" s="225"/>
      <c r="EH35" s="225"/>
      <c r="EI35" s="226"/>
      <c r="EJ35" s="227"/>
      <c r="EK35" s="227"/>
      <c r="EL35" s="227"/>
      <c r="EM35" s="227"/>
      <c r="EN35" s="227"/>
      <c r="EO35" s="227"/>
      <c r="EP35" s="227"/>
      <c r="EQ35" s="227"/>
      <c r="ER35" s="227"/>
      <c r="ES35" s="225"/>
      <c r="ET35" s="225"/>
      <c r="EU35" s="226"/>
      <c r="EV35" s="228"/>
      <c r="EW35" s="229"/>
      <c r="EX35" s="229"/>
      <c r="EY35" s="229"/>
      <c r="EZ35" s="229"/>
      <c r="FA35" s="230"/>
      <c r="FB35" s="231"/>
      <c r="FC35" s="226"/>
      <c r="FD35" s="232"/>
      <c r="FE35" s="230"/>
      <c r="FF35" s="225"/>
      <c r="FG35" s="225"/>
      <c r="FH35" s="233"/>
      <c r="FI35" s="233"/>
      <c r="FJ35" s="233"/>
      <c r="FK35" s="233"/>
      <c r="FL35" s="225"/>
      <c r="FM35" s="225"/>
      <c r="FN35" s="225"/>
      <c r="FO35" s="225"/>
      <c r="FP35" s="232"/>
      <c r="FQ35" s="232"/>
      <c r="FR35" s="232"/>
      <c r="FS35" s="234"/>
      <c r="FT35" s="235"/>
      <c r="FU35" s="235"/>
      <c r="FV35" s="235"/>
      <c r="FW35" s="232"/>
      <c r="FX35" s="232"/>
      <c r="FY35" s="232"/>
      <c r="FZ35" s="232"/>
    </row>
    <row r="36" spans="1:182" x14ac:dyDescent="0.3">
      <c r="CC36" s="266">
        <v>25.26</v>
      </c>
      <c r="CD36" s="266"/>
      <c r="CE36" s="266"/>
      <c r="CF36" s="266"/>
      <c r="CG36" s="185"/>
    </row>
    <row r="37" spans="1:182" x14ac:dyDescent="0.3">
      <c r="CC37" s="266">
        <v>31.89</v>
      </c>
      <c r="CD37" s="266"/>
      <c r="CE37" s="266"/>
      <c r="CF37" s="266"/>
      <c r="CG37" s="185"/>
    </row>
    <row r="38" spans="1:182" x14ac:dyDescent="0.3">
      <c r="CC38" s="266"/>
      <c r="CD38" s="266"/>
      <c r="CE38" s="266"/>
      <c r="CF38" s="266"/>
      <c r="CG38" s="185"/>
    </row>
    <row r="39" spans="1:182" x14ac:dyDescent="0.3">
      <c r="CC39" s="266"/>
      <c r="CD39" s="266"/>
      <c r="CE39" s="266"/>
      <c r="CF39" s="266"/>
      <c r="CG39" s="185"/>
    </row>
    <row r="40" spans="1:182" x14ac:dyDescent="0.3">
      <c r="CC40" s="266"/>
      <c r="CD40" s="266"/>
      <c r="CE40" s="266"/>
      <c r="CF40" s="266"/>
      <c r="CG40" s="185"/>
    </row>
    <row r="41" spans="1:182" x14ac:dyDescent="0.3">
      <c r="CC41" s="266"/>
      <c r="CD41" s="266"/>
      <c r="CE41" s="266"/>
      <c r="CF41" s="266"/>
      <c r="CG41" s="185"/>
    </row>
    <row r="42" spans="1:182" x14ac:dyDescent="0.3">
      <c r="CC42" s="266"/>
      <c r="CD42" s="266"/>
      <c r="CE42" s="266"/>
      <c r="CF42" s="266"/>
      <c r="CG42" s="185"/>
    </row>
    <row r="43" spans="1:182" x14ac:dyDescent="0.3">
      <c r="CC43" s="266">
        <v>32.71</v>
      </c>
      <c r="CD43" s="266"/>
      <c r="CE43" s="266">
        <v>1.83</v>
      </c>
      <c r="CF43" s="266">
        <v>0.92</v>
      </c>
      <c r="CG43" s="185"/>
    </row>
    <row r="44" spans="1:182" x14ac:dyDescent="0.3">
      <c r="CC44" s="266">
        <v>32.71</v>
      </c>
      <c r="CD44" s="266">
        <v>22.4</v>
      </c>
      <c r="CE44" s="266">
        <v>0.4</v>
      </c>
      <c r="CF44" s="266">
        <v>0.92</v>
      </c>
      <c r="CG44" s="185"/>
    </row>
    <row r="45" spans="1:182" x14ac:dyDescent="0.3">
      <c r="CC45" s="266">
        <v>32.71</v>
      </c>
      <c r="CD45" s="266">
        <v>22.4</v>
      </c>
      <c r="CE45" s="266">
        <v>1.83</v>
      </c>
      <c r="CF45" s="266">
        <v>0.92</v>
      </c>
      <c r="CG45" s="185"/>
    </row>
    <row r="46" spans="1:182" x14ac:dyDescent="0.3">
      <c r="CC46" s="266">
        <v>32.71</v>
      </c>
      <c r="CD46" s="266">
        <v>22.4</v>
      </c>
      <c r="CE46" s="266">
        <v>1.83</v>
      </c>
      <c r="CF46" s="266">
        <v>0.92</v>
      </c>
      <c r="CG46" s="185"/>
    </row>
    <row r="47" spans="1:182" x14ac:dyDescent="0.3">
      <c r="CC47" s="266">
        <v>32.71</v>
      </c>
      <c r="CD47" s="266">
        <v>22.4</v>
      </c>
      <c r="CE47" s="266">
        <v>0.4</v>
      </c>
      <c r="CF47" s="266">
        <v>0.92</v>
      </c>
      <c r="CG47" s="185"/>
    </row>
    <row r="48" spans="1:182" x14ac:dyDescent="0.3">
      <c r="CC48" s="266">
        <v>31.94</v>
      </c>
      <c r="CD48" s="266">
        <v>16.89</v>
      </c>
      <c r="CE48" s="266">
        <v>1.83</v>
      </c>
      <c r="CF48" s="266">
        <v>0.92</v>
      </c>
      <c r="CG48" s="185">
        <v>1.25</v>
      </c>
    </row>
    <row r="49" spans="81:85" x14ac:dyDescent="0.3">
      <c r="CC49" s="266">
        <v>31.94</v>
      </c>
      <c r="CD49" s="266">
        <v>16.89</v>
      </c>
      <c r="CE49" s="266">
        <v>1.83</v>
      </c>
      <c r="CF49" s="266">
        <v>0.92</v>
      </c>
      <c r="CG49" s="185">
        <v>1.25</v>
      </c>
    </row>
    <row r="50" spans="81:85" x14ac:dyDescent="0.3">
      <c r="CC50" s="266">
        <v>31.94</v>
      </c>
      <c r="CD50" s="266">
        <v>31.94</v>
      </c>
      <c r="CE50" s="266">
        <v>3.66</v>
      </c>
      <c r="CF50" s="266">
        <v>3.66</v>
      </c>
      <c r="CG50" s="240">
        <v>1.25</v>
      </c>
    </row>
    <row r="51" spans="81:85" x14ac:dyDescent="0.3">
      <c r="CC51" s="266">
        <v>31.94</v>
      </c>
      <c r="CD51" s="266">
        <v>16.89</v>
      </c>
      <c r="CE51" s="266">
        <v>1.83</v>
      </c>
      <c r="CF51" s="266">
        <v>0.92</v>
      </c>
      <c r="CG51" s="185">
        <v>1.25</v>
      </c>
    </row>
    <row r="52" spans="81:85" x14ac:dyDescent="0.3">
      <c r="CC52" s="266">
        <v>31.94</v>
      </c>
      <c r="CD52" s="266">
        <v>17.34</v>
      </c>
      <c r="CE52" s="266">
        <v>2.78</v>
      </c>
      <c r="CF52" s="266">
        <v>1.39</v>
      </c>
      <c r="CG52" s="185">
        <v>1.25</v>
      </c>
    </row>
    <row r="53" spans="81:85" x14ac:dyDescent="0.3">
      <c r="CC53" s="266">
        <v>32.71</v>
      </c>
      <c r="CD53" s="266">
        <v>16.89</v>
      </c>
      <c r="CE53" s="266">
        <v>1.83</v>
      </c>
      <c r="CF53" s="266">
        <v>0.92</v>
      </c>
      <c r="CG53" s="185">
        <v>1.25</v>
      </c>
    </row>
    <row r="54" spans="81:85" x14ac:dyDescent="0.3">
      <c r="CC54" s="266">
        <v>31.94</v>
      </c>
      <c r="CD54" s="266">
        <v>17.34</v>
      </c>
      <c r="CE54" s="266">
        <v>2.75</v>
      </c>
      <c r="CF54" s="266">
        <v>1.38</v>
      </c>
      <c r="CG54" s="185">
        <v>1.25</v>
      </c>
    </row>
    <row r="55" spans="81:85" x14ac:dyDescent="0.3">
      <c r="CC55" s="266">
        <v>31.94</v>
      </c>
      <c r="CD55" s="266">
        <v>16.88</v>
      </c>
      <c r="CE55" s="266">
        <v>1.83</v>
      </c>
      <c r="CF55" s="266">
        <v>0.92</v>
      </c>
      <c r="CG55" s="185">
        <v>1.25</v>
      </c>
    </row>
    <row r="56" spans="81:85" x14ac:dyDescent="0.3">
      <c r="CC56" s="266">
        <v>31.94</v>
      </c>
      <c r="CD56" s="266">
        <v>17.34</v>
      </c>
      <c r="CE56" s="266">
        <v>2.75</v>
      </c>
      <c r="CF56" s="266">
        <v>1.38</v>
      </c>
      <c r="CG56" s="185">
        <v>1.25</v>
      </c>
    </row>
    <row r="57" spans="81:85" x14ac:dyDescent="0.3">
      <c r="CC57" s="266">
        <v>31.94</v>
      </c>
      <c r="CD57" s="266">
        <v>17.34</v>
      </c>
      <c r="CE57" s="266">
        <v>2.78</v>
      </c>
      <c r="CF57" s="266">
        <v>1.38</v>
      </c>
      <c r="CG57" s="185">
        <v>1.25</v>
      </c>
    </row>
    <row r="58" spans="81:85" x14ac:dyDescent="0.3">
      <c r="CC58" s="266">
        <v>31.94</v>
      </c>
      <c r="CD58" s="266">
        <v>16.89</v>
      </c>
      <c r="CE58" s="266">
        <v>1.83</v>
      </c>
      <c r="CF58" s="266">
        <v>0.92</v>
      </c>
      <c r="CG58" s="185">
        <v>1.25</v>
      </c>
    </row>
    <row r="59" spans="81:85" x14ac:dyDescent="0.3">
      <c r="CC59" s="266"/>
      <c r="CD59" s="266"/>
      <c r="CE59" s="266"/>
      <c r="CF59" s="266"/>
      <c r="CG59" s="185">
        <v>1.25</v>
      </c>
    </row>
    <row r="60" spans="81:85" x14ac:dyDescent="0.3">
      <c r="CC60" s="266">
        <v>28.69</v>
      </c>
      <c r="CD60" s="266"/>
      <c r="CE60" s="266">
        <v>1.83</v>
      </c>
      <c r="CF60" s="266"/>
      <c r="CG60" s="185" t="s">
        <v>223</v>
      </c>
    </row>
    <row r="61" spans="81:85" x14ac:dyDescent="0.3">
      <c r="CC61" s="266">
        <v>30.7</v>
      </c>
      <c r="CD61" s="266">
        <v>30.7</v>
      </c>
      <c r="CE61" s="266">
        <v>1.9</v>
      </c>
      <c r="CF61" s="266"/>
      <c r="CG61" s="240">
        <v>1.25</v>
      </c>
    </row>
    <row r="62" spans="81:85" x14ac:dyDescent="0.3">
      <c r="CC62" s="266"/>
      <c r="CD62" s="266"/>
      <c r="CE62" s="266"/>
      <c r="CF62" s="266"/>
      <c r="CG62" s="185"/>
    </row>
    <row r="63" spans="81:85" x14ac:dyDescent="0.3">
      <c r="CC63" s="266"/>
      <c r="CD63" s="266"/>
      <c r="CE63" s="266"/>
      <c r="CF63" s="266"/>
      <c r="CG63" s="185"/>
    </row>
    <row r="64" spans="81:85" x14ac:dyDescent="0.3">
      <c r="CC64" s="267"/>
      <c r="CD64" s="267"/>
      <c r="CE64" s="267"/>
      <c r="CF64" s="267"/>
      <c r="CG64" s="276"/>
    </row>
    <row r="65" spans="81:85" x14ac:dyDescent="0.3">
      <c r="CC65" s="267"/>
      <c r="CD65" s="267"/>
      <c r="CE65" s="267"/>
      <c r="CF65" s="267"/>
      <c r="CG65" s="276"/>
    </row>
    <row r="66" spans="81:85" x14ac:dyDescent="0.3">
      <c r="CC66" s="268">
        <v>14.49</v>
      </c>
      <c r="CD66" s="267"/>
      <c r="CE66" s="267"/>
      <c r="CF66" s="267"/>
      <c r="CG66" s="276"/>
    </row>
    <row r="67" spans="81:85" x14ac:dyDescent="0.3">
      <c r="CC67" s="268">
        <v>25</v>
      </c>
      <c r="CD67" s="267"/>
      <c r="CE67" s="267"/>
      <c r="CF67" s="267"/>
      <c r="CG67" s="276"/>
    </row>
    <row r="68" spans="81:85" x14ac:dyDescent="0.3">
      <c r="CC68" s="268">
        <v>25</v>
      </c>
      <c r="CD68" s="267"/>
      <c r="CE68" s="267"/>
      <c r="CF68" s="267"/>
      <c r="CG68" s="276"/>
    </row>
    <row r="69" spans="81:85" x14ac:dyDescent="0.3">
      <c r="CC69" s="269">
        <v>34.36</v>
      </c>
      <c r="CD69" s="267"/>
      <c r="CE69" s="267"/>
      <c r="CF69" s="267"/>
      <c r="CG69" s="276"/>
    </row>
    <row r="70" spans="81:85" x14ac:dyDescent="0.3">
      <c r="CC70" s="269">
        <v>34.36</v>
      </c>
      <c r="CD70" s="267"/>
      <c r="CE70" s="267"/>
      <c r="CF70" s="267"/>
      <c r="CG70" s="276">
        <v>1.69</v>
      </c>
    </row>
    <row r="71" spans="81:85" x14ac:dyDescent="0.3">
      <c r="CC71" s="269">
        <v>22.94</v>
      </c>
      <c r="CD71" s="267"/>
      <c r="CE71" s="267"/>
      <c r="CF71" s="267"/>
      <c r="CG71" s="276"/>
    </row>
    <row r="72" spans="81:85" x14ac:dyDescent="0.3">
      <c r="CC72" s="268">
        <v>25</v>
      </c>
      <c r="CD72" s="267"/>
      <c r="CE72" s="267"/>
      <c r="CF72" s="267"/>
      <c r="CG72" s="276"/>
    </row>
    <row r="73" spans="81:85" x14ac:dyDescent="0.3">
      <c r="CC73" s="269">
        <v>34.36</v>
      </c>
      <c r="CD73" s="267"/>
      <c r="CE73" s="267"/>
      <c r="CF73" s="267"/>
      <c r="CG73" s="276">
        <v>5.08</v>
      </c>
    </row>
    <row r="74" spans="81:85" x14ac:dyDescent="0.3">
      <c r="CC74" s="269">
        <v>33.119999999999997</v>
      </c>
      <c r="CD74" s="267"/>
      <c r="CE74" s="267"/>
      <c r="CF74" s="267"/>
      <c r="CG74" s="276">
        <v>1.82</v>
      </c>
    </row>
    <row r="75" spans="81:85" x14ac:dyDescent="0.3">
      <c r="CC75" s="268">
        <v>25</v>
      </c>
      <c r="CD75" s="267"/>
      <c r="CE75" s="267"/>
      <c r="CF75" s="267"/>
      <c r="CG75" s="276"/>
    </row>
    <row r="76" spans="81:85" x14ac:dyDescent="0.3">
      <c r="CC76" s="269">
        <v>33.119999999999997</v>
      </c>
      <c r="CD76" s="267"/>
      <c r="CE76" s="267"/>
      <c r="CF76" s="267"/>
      <c r="CG76" s="276">
        <v>1.75</v>
      </c>
    </row>
    <row r="77" spans="81:85" x14ac:dyDescent="0.3">
      <c r="CC77" s="269">
        <v>33.119999999999997</v>
      </c>
      <c r="CD77" s="267"/>
      <c r="CE77" s="267"/>
      <c r="CF77" s="267"/>
      <c r="CG77" s="276">
        <v>1.76</v>
      </c>
    </row>
    <row r="78" spans="81:85" x14ac:dyDescent="0.3">
      <c r="CC78" s="269">
        <v>33.119999999999997</v>
      </c>
      <c r="CD78" s="267"/>
      <c r="CE78" s="267"/>
      <c r="CF78" s="267"/>
      <c r="CG78" s="276">
        <v>2.11</v>
      </c>
    </row>
    <row r="79" spans="81:85" x14ac:dyDescent="0.3">
      <c r="CC79" s="269">
        <v>34.36</v>
      </c>
      <c r="CD79" s="266"/>
      <c r="CE79" s="266"/>
      <c r="CF79" s="266"/>
      <c r="CG79" s="185">
        <v>1.37</v>
      </c>
    </row>
    <row r="80" spans="81:85" x14ac:dyDescent="0.3">
      <c r="CC80" s="269">
        <v>33.119999999999997</v>
      </c>
      <c r="CD80" s="266"/>
      <c r="CE80" s="266"/>
      <c r="CF80" s="266"/>
      <c r="CG80" s="185">
        <v>1.88</v>
      </c>
    </row>
    <row r="81" spans="81:85" x14ac:dyDescent="0.3">
      <c r="CC81" s="269">
        <v>33.119999999999997</v>
      </c>
      <c r="CD81" s="270"/>
      <c r="CE81" s="270"/>
      <c r="CF81" s="270"/>
      <c r="CG81" s="277"/>
    </row>
    <row r="82" spans="81:85" x14ac:dyDescent="0.3">
      <c r="CC82" s="269">
        <v>34.36</v>
      </c>
      <c r="CD82" s="266"/>
      <c r="CE82" s="266"/>
      <c r="CF82" s="266"/>
      <c r="CG82" s="185"/>
    </row>
    <row r="83" spans="81:85" x14ac:dyDescent="0.3">
      <c r="CC83" s="269">
        <v>34.36</v>
      </c>
      <c r="CD83" s="266"/>
      <c r="CE83" s="266"/>
      <c r="CF83" s="266"/>
      <c r="CG83" s="185"/>
    </row>
    <row r="84" spans="81:85" x14ac:dyDescent="0.3">
      <c r="CC84" s="268">
        <v>25</v>
      </c>
      <c r="CD84" s="266"/>
      <c r="CE84" s="266"/>
      <c r="CF84" s="266"/>
      <c r="CG84" s="185"/>
    </row>
    <row r="85" spans="81:85" x14ac:dyDescent="0.3">
      <c r="CC85" s="269">
        <v>34.36</v>
      </c>
      <c r="CD85" s="266"/>
      <c r="CE85" s="266"/>
      <c r="CF85" s="266"/>
      <c r="CG85" s="185">
        <v>1.35</v>
      </c>
    </row>
    <row r="86" spans="81:85" x14ac:dyDescent="0.3">
      <c r="CC86" s="269">
        <v>33.119999999999997</v>
      </c>
      <c r="CD86" s="266"/>
      <c r="CE86" s="266"/>
      <c r="CF86" s="266"/>
      <c r="CG86" s="185">
        <v>2.0299999999999998</v>
      </c>
    </row>
    <row r="87" spans="81:85" x14ac:dyDescent="0.3">
      <c r="CC87" s="269">
        <v>33.119999999999997</v>
      </c>
      <c r="CD87" s="266"/>
      <c r="CE87" s="266"/>
      <c r="CF87" s="266"/>
      <c r="CG87" s="185">
        <v>2.6</v>
      </c>
    </row>
    <row r="88" spans="81:85" x14ac:dyDescent="0.3">
      <c r="CC88" s="269">
        <v>33.119999999999997</v>
      </c>
      <c r="CD88" s="266"/>
      <c r="CE88" s="266"/>
      <c r="CF88" s="266"/>
      <c r="CG88" s="185">
        <v>2.59</v>
      </c>
    </row>
    <row r="89" spans="81:85" x14ac:dyDescent="0.3">
      <c r="CC89" s="268">
        <v>25</v>
      </c>
      <c r="CD89" s="266"/>
      <c r="CE89" s="266"/>
      <c r="CF89" s="266"/>
      <c r="CG89" s="185"/>
    </row>
    <row r="90" spans="81:85" x14ac:dyDescent="0.3">
      <c r="CC90" s="269">
        <v>33.119999999999997</v>
      </c>
      <c r="CD90" s="266"/>
      <c r="CE90" s="266"/>
      <c r="CF90" s="266"/>
      <c r="CG90" s="185">
        <v>1.98</v>
      </c>
    </row>
    <row r="91" spans="81:85" x14ac:dyDescent="0.3">
      <c r="CC91" s="269">
        <v>33.119999999999997</v>
      </c>
      <c r="CD91" s="266"/>
      <c r="CE91" s="266"/>
      <c r="CF91" s="266"/>
      <c r="CG91" s="185">
        <v>2.1</v>
      </c>
    </row>
    <row r="92" spans="81:85" x14ac:dyDescent="0.3">
      <c r="CC92" s="269">
        <v>33.119999999999997</v>
      </c>
      <c r="CD92" s="266"/>
      <c r="CE92" s="266"/>
      <c r="CF92" s="266"/>
      <c r="CG92" s="185">
        <v>1.58</v>
      </c>
    </row>
    <row r="93" spans="81:85" x14ac:dyDescent="0.3">
      <c r="CC93" s="269">
        <v>34.36</v>
      </c>
      <c r="CD93" s="266"/>
      <c r="CE93" s="266"/>
      <c r="CF93" s="266"/>
      <c r="CG93" s="185">
        <v>1.35</v>
      </c>
    </row>
    <row r="94" spans="81:85" x14ac:dyDescent="0.3">
      <c r="CC94" s="271">
        <v>34</v>
      </c>
      <c r="CD94" s="266"/>
      <c r="CE94" s="266"/>
      <c r="CF94" s="266"/>
      <c r="CG94" s="185"/>
    </row>
    <row r="95" spans="81:85" x14ac:dyDescent="0.3">
      <c r="CC95" s="269">
        <v>34.36</v>
      </c>
      <c r="CD95" s="266"/>
      <c r="CE95" s="266"/>
      <c r="CF95" s="266"/>
      <c r="CG95" s="185">
        <v>1.36</v>
      </c>
    </row>
    <row r="96" spans="81:85" x14ac:dyDescent="0.3">
      <c r="CC96" s="269">
        <v>34.36</v>
      </c>
      <c r="CD96" s="266"/>
      <c r="CE96" s="266"/>
      <c r="CF96" s="266"/>
      <c r="CG96" s="185">
        <v>1.06</v>
      </c>
    </row>
    <row r="97" spans="81:85" x14ac:dyDescent="0.3">
      <c r="CC97" s="268">
        <v>25</v>
      </c>
      <c r="CD97" s="266"/>
      <c r="CE97" s="266"/>
      <c r="CF97" s="266"/>
      <c r="CG97" s="185"/>
    </row>
    <row r="98" spans="81:85" x14ac:dyDescent="0.3">
      <c r="CC98" s="268">
        <v>25</v>
      </c>
      <c r="CD98" s="266"/>
      <c r="CE98" s="266"/>
      <c r="CF98" s="266"/>
      <c r="CG98" s="185"/>
    </row>
    <row r="99" spans="81:85" x14ac:dyDescent="0.3">
      <c r="CC99" s="268">
        <v>25</v>
      </c>
      <c r="CD99" s="266"/>
      <c r="CE99" s="266"/>
      <c r="CF99" s="266"/>
      <c r="CG99" s="185"/>
    </row>
    <row r="100" spans="81:85" x14ac:dyDescent="0.3">
      <c r="CC100" s="268">
        <v>25</v>
      </c>
      <c r="CD100" s="266"/>
      <c r="CE100" s="266"/>
      <c r="CF100" s="266"/>
      <c r="CG100" s="185"/>
    </row>
    <row r="101" spans="81:85" x14ac:dyDescent="0.3">
      <c r="CC101" s="268">
        <v>25</v>
      </c>
      <c r="CD101" s="266"/>
      <c r="CE101" s="266"/>
      <c r="CF101" s="266"/>
      <c r="CG101" s="185"/>
    </row>
    <row r="102" spans="81:85" x14ac:dyDescent="0.3">
      <c r="CC102" s="268">
        <v>25</v>
      </c>
      <c r="CD102" s="266"/>
      <c r="CE102" s="266"/>
      <c r="CF102" s="266"/>
      <c r="CG102" s="185"/>
    </row>
    <row r="103" spans="81:85" x14ac:dyDescent="0.3">
      <c r="CC103" s="268">
        <v>25</v>
      </c>
      <c r="CD103" s="266"/>
      <c r="CE103" s="266"/>
      <c r="CF103" s="266"/>
      <c r="CG103" s="185"/>
    </row>
    <row r="104" spans="81:85" x14ac:dyDescent="0.3">
      <c r="CC104" s="268">
        <v>25</v>
      </c>
      <c r="CD104" s="266"/>
      <c r="CE104" s="266"/>
      <c r="CF104" s="266"/>
      <c r="CG104" s="185"/>
    </row>
    <row r="105" spans="81:85" x14ac:dyDescent="0.3">
      <c r="CC105" s="268">
        <v>25</v>
      </c>
      <c r="CD105" s="266"/>
      <c r="CE105" s="266"/>
      <c r="CF105" s="266"/>
      <c r="CG105" s="185"/>
    </row>
    <row r="106" spans="81:85" x14ac:dyDescent="0.3">
      <c r="CC106" s="268">
        <v>25</v>
      </c>
      <c r="CD106" s="266"/>
      <c r="CE106" s="266"/>
      <c r="CF106" s="266"/>
      <c r="CG106" s="185"/>
    </row>
    <row r="107" spans="81:85" x14ac:dyDescent="0.3">
      <c r="CC107" s="268">
        <v>25</v>
      </c>
      <c r="CD107" s="266"/>
      <c r="CE107" s="266"/>
      <c r="CF107" s="266"/>
      <c r="CG107" s="185"/>
    </row>
    <row r="108" spans="81:85" x14ac:dyDescent="0.3">
      <c r="CC108" s="268">
        <v>25</v>
      </c>
      <c r="CD108" s="266"/>
      <c r="CE108" s="266"/>
      <c r="CF108" s="266"/>
      <c r="CG108" s="185"/>
    </row>
    <row r="109" spans="81:85" x14ac:dyDescent="0.3">
      <c r="CC109" s="268">
        <v>25</v>
      </c>
      <c r="CD109" s="266"/>
      <c r="CE109" s="266"/>
      <c r="CF109" s="266"/>
      <c r="CG109" s="185"/>
    </row>
    <row r="110" spans="81:85" x14ac:dyDescent="0.3">
      <c r="CC110" s="268">
        <v>25</v>
      </c>
      <c r="CD110" s="266"/>
      <c r="CE110" s="266"/>
      <c r="CF110" s="266"/>
      <c r="CG110" s="185"/>
    </row>
    <row r="111" spans="81:85" x14ac:dyDescent="0.3">
      <c r="CC111" s="268">
        <v>25</v>
      </c>
      <c r="CD111" s="266"/>
      <c r="CE111" s="266"/>
      <c r="CF111" s="266"/>
      <c r="CG111" s="185"/>
    </row>
    <row r="112" spans="81:85" x14ac:dyDescent="0.3">
      <c r="CC112" s="268">
        <v>25</v>
      </c>
      <c r="CD112" s="266"/>
      <c r="CE112" s="266"/>
      <c r="CF112" s="266"/>
      <c r="CG112" s="185"/>
    </row>
    <row r="113" spans="81:85" x14ac:dyDescent="0.3">
      <c r="CC113" s="268">
        <v>25</v>
      </c>
      <c r="CD113" s="266"/>
      <c r="CE113" s="266"/>
      <c r="CF113" s="266"/>
      <c r="CG113" s="185"/>
    </row>
    <row r="114" spans="81:85" x14ac:dyDescent="0.3">
      <c r="CC114" s="268">
        <v>25</v>
      </c>
      <c r="CD114" s="266"/>
      <c r="CE114" s="266"/>
      <c r="CF114" s="266"/>
      <c r="CG114" s="185"/>
    </row>
    <row r="115" spans="81:85" x14ac:dyDescent="0.3">
      <c r="CC115" s="268">
        <v>25</v>
      </c>
      <c r="CD115" s="266"/>
      <c r="CE115" s="266"/>
      <c r="CF115" s="266"/>
      <c r="CG115" s="185"/>
    </row>
    <row r="116" spans="81:85" x14ac:dyDescent="0.3">
      <c r="CC116" s="269">
        <v>29.09</v>
      </c>
      <c r="CD116" s="266"/>
      <c r="CE116" s="266"/>
      <c r="CF116" s="266"/>
      <c r="CG116" s="185"/>
    </row>
    <row r="117" spans="81:85" x14ac:dyDescent="0.3">
      <c r="CC117" s="271">
        <v>34.36</v>
      </c>
      <c r="CD117" s="272"/>
      <c r="CE117" s="272"/>
      <c r="CF117" s="272"/>
      <c r="CG117" s="278"/>
    </row>
    <row r="118" spans="81:85" x14ac:dyDescent="0.3">
      <c r="CC118" s="269">
        <v>34.36</v>
      </c>
      <c r="CD118" s="266"/>
      <c r="CE118" s="266"/>
      <c r="CF118" s="266"/>
      <c r="CG118" s="185"/>
    </row>
    <row r="119" spans="81:85" x14ac:dyDescent="0.3">
      <c r="CC119" s="269">
        <v>33.119999999999997</v>
      </c>
      <c r="CD119" s="266"/>
      <c r="CE119" s="266"/>
      <c r="CF119" s="266"/>
      <c r="CG119" s="185"/>
    </row>
    <row r="120" spans="81:85" x14ac:dyDescent="0.3">
      <c r="CC120" s="269">
        <v>33.119999999999997</v>
      </c>
      <c r="CD120" s="266"/>
      <c r="CE120" s="266"/>
      <c r="CF120" s="266"/>
      <c r="CG120" s="185"/>
    </row>
    <row r="121" spans="81:85" x14ac:dyDescent="0.3">
      <c r="CC121" s="273">
        <v>34.36</v>
      </c>
      <c r="CD121" s="274"/>
      <c r="CE121" s="274"/>
      <c r="CF121" s="274"/>
      <c r="CG121" s="240"/>
    </row>
    <row r="122" spans="81:85" x14ac:dyDescent="0.3">
      <c r="CC122" s="269">
        <v>34.36</v>
      </c>
      <c r="CD122" s="266"/>
      <c r="CE122" s="266"/>
      <c r="CF122" s="266"/>
      <c r="CG122" s="185">
        <v>1.45</v>
      </c>
    </row>
    <row r="123" spans="81:85" x14ac:dyDescent="0.3">
      <c r="CC123" s="269"/>
      <c r="CD123" s="266"/>
      <c r="CE123" s="266"/>
      <c r="CF123" s="266"/>
      <c r="CG123" s="185"/>
    </row>
    <row r="124" spans="81:85" x14ac:dyDescent="0.3">
      <c r="CC124" s="269"/>
      <c r="CD124" s="266"/>
      <c r="CE124" s="266"/>
      <c r="CF124" s="266"/>
      <c r="CG124" s="185"/>
    </row>
    <row r="125" spans="81:85" x14ac:dyDescent="0.3">
      <c r="CC125" s="269">
        <v>33.119999999999997</v>
      </c>
      <c r="CD125" s="266"/>
      <c r="CE125" s="266"/>
      <c r="CF125" s="266"/>
      <c r="CG125" s="185">
        <v>2.2200000000000002</v>
      </c>
    </row>
    <row r="126" spans="81:85" x14ac:dyDescent="0.3">
      <c r="CC126" s="269">
        <v>33.119999999999997</v>
      </c>
      <c r="CD126" s="266"/>
      <c r="CE126" s="266"/>
      <c r="CF126" s="266"/>
      <c r="CG126" s="185">
        <v>2.17</v>
      </c>
    </row>
    <row r="127" spans="81:85" x14ac:dyDescent="0.3">
      <c r="CC127" s="269">
        <v>33.119999999999997</v>
      </c>
      <c r="CD127" s="266"/>
      <c r="CE127" s="266"/>
      <c r="CF127" s="266"/>
      <c r="CG127" s="185">
        <v>2.2200000000000002</v>
      </c>
    </row>
    <row r="128" spans="81:85" x14ac:dyDescent="0.3">
      <c r="CC128" s="269">
        <v>34.36</v>
      </c>
      <c r="CD128" s="266"/>
      <c r="CE128" s="266"/>
      <c r="CF128" s="266"/>
      <c r="CG128" s="185">
        <v>2.0699999999999998</v>
      </c>
    </row>
    <row r="129" spans="81:85" x14ac:dyDescent="0.3">
      <c r="CC129" s="269">
        <v>34.36</v>
      </c>
      <c r="CD129" s="266"/>
      <c r="CE129" s="266"/>
      <c r="CF129" s="266"/>
      <c r="CG129" s="185">
        <v>2.12</v>
      </c>
    </row>
    <row r="130" spans="81:85" x14ac:dyDescent="0.3">
      <c r="CC130" s="269">
        <v>34.36</v>
      </c>
      <c r="CD130" s="266"/>
      <c r="CE130" s="266"/>
      <c r="CF130" s="266"/>
      <c r="CG130" s="185">
        <v>1.53</v>
      </c>
    </row>
    <row r="131" spans="81:85" x14ac:dyDescent="0.3">
      <c r="CC131" s="269"/>
      <c r="CD131" s="266"/>
      <c r="CE131" s="266"/>
      <c r="CF131" s="266"/>
      <c r="CG131" s="185"/>
    </row>
    <row r="132" spans="81:85" x14ac:dyDescent="0.3">
      <c r="CC132" s="269"/>
      <c r="CD132" s="266"/>
      <c r="CE132" s="266"/>
      <c r="CF132" s="266"/>
      <c r="CG132" s="185"/>
    </row>
    <row r="133" spans="81:85" x14ac:dyDescent="0.3">
      <c r="CC133" s="269"/>
      <c r="CD133" s="266"/>
      <c r="CE133" s="266"/>
      <c r="CF133" s="266"/>
      <c r="CG133" s="185"/>
    </row>
    <row r="134" spans="81:85" x14ac:dyDescent="0.3">
      <c r="CC134" s="269">
        <v>24.33</v>
      </c>
      <c r="CD134" s="266"/>
      <c r="CE134" s="266"/>
      <c r="CF134" s="266"/>
      <c r="CG134" s="185"/>
    </row>
    <row r="135" spans="81:85" x14ac:dyDescent="0.3">
      <c r="CC135" s="269">
        <v>24.33</v>
      </c>
      <c r="CD135" s="266"/>
      <c r="CE135" s="266"/>
      <c r="CF135" s="266"/>
      <c r="CG135" s="185"/>
    </row>
    <row r="136" spans="81:85" x14ac:dyDescent="0.3">
      <c r="CC136" s="269">
        <v>24.33</v>
      </c>
      <c r="CD136" s="266"/>
      <c r="CE136" s="266"/>
      <c r="CF136" s="266"/>
      <c r="CG136" s="185"/>
    </row>
    <row r="137" spans="81:85" x14ac:dyDescent="0.3">
      <c r="CC137" s="269">
        <v>24.33</v>
      </c>
      <c r="CD137" s="266"/>
      <c r="CE137" s="266"/>
      <c r="CF137" s="266"/>
      <c r="CG137" s="185"/>
    </row>
    <row r="138" spans="81:85" x14ac:dyDescent="0.3">
      <c r="CC138" s="269">
        <v>24.33</v>
      </c>
      <c r="CD138" s="266"/>
      <c r="CE138" s="266"/>
      <c r="CF138" s="266"/>
      <c r="CG138" s="185"/>
    </row>
    <row r="139" spans="81:85" x14ac:dyDescent="0.3">
      <c r="CC139" s="269">
        <v>24.33</v>
      </c>
      <c r="CD139" s="266"/>
      <c r="CE139" s="266"/>
      <c r="CF139" s="266"/>
      <c r="CG139" s="185"/>
    </row>
    <row r="140" spans="81:85" x14ac:dyDescent="0.3">
      <c r="CC140" s="269">
        <v>24.33</v>
      </c>
      <c r="CD140" s="266"/>
      <c r="CE140" s="266"/>
      <c r="CF140" s="266"/>
      <c r="CG140" s="185"/>
    </row>
    <row r="141" spans="81:85" x14ac:dyDescent="0.3">
      <c r="CC141" s="269">
        <v>24.33</v>
      </c>
      <c r="CD141" s="266"/>
      <c r="CE141" s="266"/>
      <c r="CF141" s="266"/>
      <c r="CG141" s="185"/>
    </row>
    <row r="142" spans="81:85" x14ac:dyDescent="0.3">
      <c r="CC142" s="269">
        <v>24.33</v>
      </c>
      <c r="CD142" s="266"/>
      <c r="CE142" s="266"/>
      <c r="CF142" s="266"/>
      <c r="CG142" s="185"/>
    </row>
    <row r="143" spans="81:85" x14ac:dyDescent="0.3">
      <c r="CC143" s="269">
        <v>24.33</v>
      </c>
      <c r="CD143" s="266"/>
      <c r="CE143" s="266"/>
      <c r="CF143" s="266"/>
      <c r="CG143" s="185"/>
    </row>
    <row r="144" spans="81:85" x14ac:dyDescent="0.3">
      <c r="CC144" s="269">
        <v>24.33</v>
      </c>
      <c r="CD144" s="266"/>
      <c r="CE144" s="266"/>
      <c r="CF144" s="266"/>
      <c r="CG144" s="185"/>
    </row>
    <row r="145" spans="81:85" x14ac:dyDescent="0.3">
      <c r="CC145" s="269">
        <v>24.33</v>
      </c>
      <c r="CD145" s="266"/>
      <c r="CE145" s="266"/>
      <c r="CF145" s="266"/>
      <c r="CG145" s="185"/>
    </row>
    <row r="146" spans="81:85" x14ac:dyDescent="0.3">
      <c r="CC146" s="269">
        <v>24.33</v>
      </c>
      <c r="CD146" s="266"/>
      <c r="CE146" s="266"/>
      <c r="CF146" s="266"/>
      <c r="CG146" s="185"/>
    </row>
    <row r="147" spans="81:85" x14ac:dyDescent="0.3">
      <c r="CC147" s="269">
        <v>24.33</v>
      </c>
      <c r="CD147" s="266"/>
      <c r="CE147" s="266"/>
      <c r="CF147" s="266"/>
      <c r="CG147" s="185"/>
    </row>
    <row r="148" spans="81:85" x14ac:dyDescent="0.3">
      <c r="CC148" s="269">
        <v>24.33</v>
      </c>
      <c r="CD148" s="266"/>
      <c r="CE148" s="266"/>
      <c r="CF148" s="266"/>
      <c r="CG148" s="185"/>
    </row>
    <row r="149" spans="81:85" x14ac:dyDescent="0.3">
      <c r="CC149" s="269">
        <v>24.33</v>
      </c>
      <c r="CD149" s="266"/>
      <c r="CE149" s="266"/>
      <c r="CF149" s="266"/>
      <c r="CG149" s="185"/>
    </row>
    <row r="150" spans="81:85" x14ac:dyDescent="0.3">
      <c r="CC150" s="269">
        <v>24.33</v>
      </c>
      <c r="CD150" s="266"/>
      <c r="CE150" s="266"/>
      <c r="CF150" s="266"/>
      <c r="CG150" s="185"/>
    </row>
    <row r="151" spans="81:85" x14ac:dyDescent="0.3">
      <c r="CC151" s="269">
        <v>24.33</v>
      </c>
      <c r="CD151" s="266"/>
      <c r="CE151" s="266"/>
      <c r="CF151" s="266"/>
      <c r="CG151" s="185"/>
    </row>
    <row r="152" spans="81:85" x14ac:dyDescent="0.3">
      <c r="CC152" s="269">
        <v>24.33</v>
      </c>
      <c r="CD152" s="266"/>
      <c r="CE152" s="266"/>
      <c r="CF152" s="266"/>
      <c r="CG152" s="185"/>
    </row>
    <row r="153" spans="81:85" x14ac:dyDescent="0.3">
      <c r="CC153" s="269">
        <v>24.33</v>
      </c>
      <c r="CD153" s="266"/>
      <c r="CE153" s="266"/>
      <c r="CF153" s="266"/>
      <c r="CG153" s="185"/>
    </row>
    <row r="154" spans="81:85" x14ac:dyDescent="0.3">
      <c r="CC154" s="269">
        <v>24.33</v>
      </c>
      <c r="CD154" s="266"/>
      <c r="CE154" s="266"/>
      <c r="CF154" s="266"/>
      <c r="CG154" s="185"/>
    </row>
    <row r="155" spans="81:85" x14ac:dyDescent="0.3">
      <c r="CC155" s="269">
        <v>24.33</v>
      </c>
      <c r="CD155" s="266"/>
      <c r="CE155" s="266"/>
      <c r="CF155" s="266"/>
      <c r="CG155" s="185"/>
    </row>
    <row r="156" spans="81:85" x14ac:dyDescent="0.3">
      <c r="CC156" s="269">
        <v>24.33</v>
      </c>
      <c r="CD156" s="266"/>
      <c r="CE156" s="266"/>
      <c r="CF156" s="266"/>
      <c r="CG156" s="185"/>
    </row>
    <row r="157" spans="81:85" x14ac:dyDescent="0.3">
      <c r="CC157" s="269">
        <v>24.33</v>
      </c>
      <c r="CD157" s="266"/>
      <c r="CE157" s="266"/>
      <c r="CF157" s="266"/>
      <c r="CG157" s="185"/>
    </row>
    <row r="158" spans="81:85" x14ac:dyDescent="0.3">
      <c r="CC158" s="269">
        <v>24.33</v>
      </c>
      <c r="CD158" s="266"/>
      <c r="CE158" s="266"/>
      <c r="CF158" s="266"/>
      <c r="CG158" s="185"/>
    </row>
    <row r="159" spans="81:85" x14ac:dyDescent="0.3">
      <c r="CC159" s="269">
        <v>24.33</v>
      </c>
      <c r="CD159" s="266"/>
      <c r="CE159" s="266"/>
      <c r="CF159" s="266"/>
      <c r="CG159" s="185"/>
    </row>
    <row r="160" spans="81:85" x14ac:dyDescent="0.3">
      <c r="CC160" s="269">
        <v>24.33</v>
      </c>
      <c r="CD160" s="266"/>
      <c r="CE160" s="266"/>
      <c r="CF160" s="266"/>
      <c r="CG160" s="185"/>
    </row>
    <row r="161" spans="81:85" x14ac:dyDescent="0.3">
      <c r="CC161" s="269">
        <v>24.33</v>
      </c>
      <c r="CD161" s="266"/>
      <c r="CE161" s="266"/>
      <c r="CF161" s="266"/>
      <c r="CG161" s="185"/>
    </row>
    <row r="162" spans="81:85" x14ac:dyDescent="0.3">
      <c r="CC162" s="269">
        <v>24.33</v>
      </c>
      <c r="CD162" s="266"/>
      <c r="CE162" s="266"/>
      <c r="CF162" s="266"/>
      <c r="CG162" s="185"/>
    </row>
    <row r="163" spans="81:85" x14ac:dyDescent="0.3">
      <c r="CC163" s="269">
        <v>24.33</v>
      </c>
      <c r="CD163" s="266"/>
      <c r="CE163" s="266"/>
      <c r="CF163" s="266"/>
      <c r="CG163" s="185"/>
    </row>
    <row r="164" spans="81:85" x14ac:dyDescent="0.3">
      <c r="CC164" s="269">
        <v>24.33</v>
      </c>
      <c r="CD164" s="266"/>
      <c r="CE164" s="266"/>
      <c r="CF164" s="266"/>
      <c r="CG164" s="185"/>
    </row>
    <row r="165" spans="81:85" x14ac:dyDescent="0.3">
      <c r="CC165" s="269">
        <v>24.33</v>
      </c>
      <c r="CD165" s="266"/>
      <c r="CE165" s="266"/>
      <c r="CF165" s="266"/>
      <c r="CG165" s="185"/>
    </row>
    <row r="166" spans="81:85" x14ac:dyDescent="0.3">
      <c r="CC166" s="269">
        <v>24.33</v>
      </c>
      <c r="CD166" s="266"/>
      <c r="CE166" s="266"/>
      <c r="CF166" s="266"/>
      <c r="CG166" s="185"/>
    </row>
    <row r="167" spans="81:85" x14ac:dyDescent="0.3">
      <c r="CC167" s="269">
        <v>24.33</v>
      </c>
      <c r="CD167" s="266"/>
      <c r="CE167" s="266"/>
      <c r="CF167" s="266"/>
      <c r="CG167" s="185"/>
    </row>
    <row r="168" spans="81:85" x14ac:dyDescent="0.3">
      <c r="CC168" s="269">
        <v>24.33</v>
      </c>
      <c r="CD168" s="266"/>
      <c r="CE168" s="266"/>
      <c r="CF168" s="266"/>
      <c r="CG168" s="185"/>
    </row>
    <row r="169" spans="81:85" x14ac:dyDescent="0.3">
      <c r="CC169" s="269">
        <v>24.33</v>
      </c>
      <c r="CD169" s="266"/>
      <c r="CE169" s="266"/>
      <c r="CF169" s="266"/>
      <c r="CG169" s="185"/>
    </row>
    <row r="170" spans="81:85" x14ac:dyDescent="0.3">
      <c r="CC170" s="269">
        <v>24.33</v>
      </c>
      <c r="CD170" s="266"/>
      <c r="CE170" s="266"/>
      <c r="CF170" s="266"/>
      <c r="CG170" s="185"/>
    </row>
    <row r="171" spans="81:85" x14ac:dyDescent="0.3">
      <c r="CC171" s="269">
        <v>24.33</v>
      </c>
      <c r="CD171" s="266"/>
      <c r="CE171" s="266"/>
      <c r="CF171" s="266"/>
      <c r="CG171" s="185"/>
    </row>
    <row r="172" spans="81:85" x14ac:dyDescent="0.3">
      <c r="CC172" s="269">
        <v>24.33</v>
      </c>
      <c r="CD172" s="266"/>
      <c r="CE172" s="266"/>
      <c r="CF172" s="266"/>
      <c r="CG172" s="185"/>
    </row>
    <row r="173" spans="81:85" x14ac:dyDescent="0.3">
      <c r="CC173" s="269">
        <v>28.5</v>
      </c>
      <c r="CD173" s="266"/>
      <c r="CE173" s="266"/>
      <c r="CF173" s="266"/>
      <c r="CG173" s="185"/>
    </row>
    <row r="174" spans="81:85" x14ac:dyDescent="0.3">
      <c r="CC174" s="269">
        <v>24.33</v>
      </c>
      <c r="CD174" s="266"/>
      <c r="CE174" s="266"/>
      <c r="CF174" s="266"/>
      <c r="CG174" s="185"/>
    </row>
    <row r="175" spans="81:85" x14ac:dyDescent="0.3">
      <c r="CC175" s="269">
        <v>24.33</v>
      </c>
      <c r="CD175" s="266"/>
      <c r="CE175" s="266"/>
      <c r="CF175" s="266"/>
      <c r="CG175" s="185"/>
    </row>
    <row r="176" spans="81:85" x14ac:dyDescent="0.3">
      <c r="CC176" s="269">
        <v>24.33</v>
      </c>
      <c r="CD176" s="266"/>
      <c r="CE176" s="266"/>
      <c r="CF176" s="266"/>
      <c r="CG176" s="185"/>
    </row>
    <row r="177" spans="81:85" x14ac:dyDescent="0.3">
      <c r="CC177" s="269">
        <v>24.33</v>
      </c>
      <c r="CD177" s="266"/>
      <c r="CE177" s="266"/>
      <c r="CF177" s="266"/>
      <c r="CG177" s="185"/>
    </row>
    <row r="178" spans="81:85" x14ac:dyDescent="0.3">
      <c r="CC178" s="269">
        <v>24.33</v>
      </c>
      <c r="CD178" s="266"/>
      <c r="CE178" s="266"/>
      <c r="CF178" s="266"/>
      <c r="CG178" s="185"/>
    </row>
    <row r="179" spans="81:85" x14ac:dyDescent="0.3">
      <c r="CC179" s="269">
        <v>24.33</v>
      </c>
      <c r="CD179" s="266"/>
      <c r="CE179" s="266"/>
      <c r="CF179" s="266"/>
      <c r="CG179" s="185"/>
    </row>
    <row r="180" spans="81:85" x14ac:dyDescent="0.3">
      <c r="CC180" s="269">
        <v>24.33</v>
      </c>
      <c r="CD180" s="266"/>
      <c r="CE180" s="266"/>
      <c r="CF180" s="266"/>
      <c r="CG180" s="185"/>
    </row>
    <row r="181" spans="81:85" x14ac:dyDescent="0.3">
      <c r="CC181" s="269">
        <v>24.33</v>
      </c>
      <c r="CD181" s="266"/>
      <c r="CE181" s="266"/>
      <c r="CF181" s="266"/>
      <c r="CG181" s="185"/>
    </row>
    <row r="182" spans="81:85" x14ac:dyDescent="0.3">
      <c r="CC182" s="269">
        <v>24.33</v>
      </c>
      <c r="CD182" s="266"/>
      <c r="CE182" s="266"/>
      <c r="CF182" s="266"/>
      <c r="CG182" s="185"/>
    </row>
    <row r="183" spans="81:85" x14ac:dyDescent="0.3">
      <c r="CC183" s="269">
        <v>24.33</v>
      </c>
      <c r="CD183" s="266"/>
      <c r="CE183" s="266"/>
      <c r="CF183" s="266"/>
      <c r="CG183" s="185"/>
    </row>
    <row r="184" spans="81:85" x14ac:dyDescent="0.3">
      <c r="CC184" s="269">
        <v>24.33</v>
      </c>
      <c r="CD184" s="266"/>
      <c r="CE184" s="266"/>
      <c r="CF184" s="266"/>
      <c r="CG184" s="185"/>
    </row>
    <row r="185" spans="81:85" x14ac:dyDescent="0.3">
      <c r="CC185" s="269">
        <v>24.33</v>
      </c>
      <c r="CD185" s="266"/>
      <c r="CE185" s="266"/>
      <c r="CF185" s="266"/>
      <c r="CG185" s="185"/>
    </row>
    <row r="186" spans="81:85" x14ac:dyDescent="0.3">
      <c r="CC186" s="269">
        <v>24.33</v>
      </c>
      <c r="CD186" s="266"/>
      <c r="CE186" s="266"/>
      <c r="CF186" s="266"/>
      <c r="CG186" s="185"/>
    </row>
    <row r="187" spans="81:85" x14ac:dyDescent="0.3">
      <c r="CC187" s="269">
        <v>24.33</v>
      </c>
      <c r="CD187" s="266"/>
      <c r="CE187" s="266"/>
      <c r="CF187" s="266"/>
      <c r="CG187" s="185"/>
    </row>
    <row r="188" spans="81:85" x14ac:dyDescent="0.3">
      <c r="CC188" s="269">
        <v>24.33</v>
      </c>
      <c r="CD188" s="266"/>
      <c r="CE188" s="266"/>
      <c r="CF188" s="266"/>
      <c r="CG188" s="185"/>
    </row>
    <row r="189" spans="81:85" x14ac:dyDescent="0.3">
      <c r="CC189" s="269">
        <v>24.33</v>
      </c>
      <c r="CD189" s="266"/>
      <c r="CE189" s="266"/>
      <c r="CF189" s="266"/>
      <c r="CG189" s="185"/>
    </row>
    <row r="190" spans="81:85" x14ac:dyDescent="0.3">
      <c r="CC190" s="269">
        <v>24.33</v>
      </c>
      <c r="CD190" s="266"/>
      <c r="CE190" s="266"/>
      <c r="CF190" s="266"/>
      <c r="CG190" s="185"/>
    </row>
    <row r="191" spans="81:85" x14ac:dyDescent="0.3">
      <c r="CC191" s="268">
        <v>29</v>
      </c>
      <c r="CD191" s="266"/>
      <c r="CE191" s="266"/>
      <c r="CF191" s="266"/>
      <c r="CG191" s="185"/>
    </row>
    <row r="192" spans="81:85" x14ac:dyDescent="0.3">
      <c r="CC192" s="268">
        <v>29</v>
      </c>
      <c r="CD192" s="266"/>
      <c r="CE192" s="266"/>
      <c r="CF192" s="266"/>
      <c r="CG192" s="185"/>
    </row>
    <row r="193" spans="81:85" x14ac:dyDescent="0.3">
      <c r="CC193" s="268">
        <v>29</v>
      </c>
      <c r="CD193" s="266"/>
      <c r="CE193" s="266"/>
      <c r="CF193" s="266"/>
      <c r="CG193" s="185"/>
    </row>
    <row r="194" spans="81:85" x14ac:dyDescent="0.3">
      <c r="CC194" s="269"/>
      <c r="CD194" s="266"/>
      <c r="CE194" s="266"/>
      <c r="CF194" s="266"/>
      <c r="CG194" s="185"/>
    </row>
    <row r="195" spans="81:85" x14ac:dyDescent="0.3">
      <c r="CC195" s="269"/>
      <c r="CD195" s="266"/>
      <c r="CE195" s="266"/>
      <c r="CF195" s="266"/>
      <c r="CG195" s="185"/>
    </row>
    <row r="196" spans="81:85" x14ac:dyDescent="0.3">
      <c r="CC196" s="269">
        <v>31.18</v>
      </c>
      <c r="CD196" s="266"/>
      <c r="CE196" s="266">
        <v>1.83</v>
      </c>
      <c r="CF196" s="266"/>
      <c r="CG196" s="185">
        <v>1.75</v>
      </c>
    </row>
    <row r="197" spans="81:85" x14ac:dyDescent="0.3">
      <c r="CC197" s="269">
        <v>26.1</v>
      </c>
      <c r="CD197" s="266"/>
      <c r="CE197" s="266">
        <v>1.83</v>
      </c>
      <c r="CF197" s="266"/>
      <c r="CG197" s="185">
        <v>1.75</v>
      </c>
    </row>
    <row r="198" spans="81:85" x14ac:dyDescent="0.3">
      <c r="CC198" s="269">
        <v>31.18</v>
      </c>
      <c r="CD198" s="266"/>
      <c r="CE198" s="266">
        <v>1.83</v>
      </c>
      <c r="CF198" s="266"/>
      <c r="CG198" s="185">
        <v>1.75</v>
      </c>
    </row>
    <row r="199" spans="81:85" x14ac:dyDescent="0.3">
      <c r="CC199" s="269">
        <v>31.18</v>
      </c>
      <c r="CD199" s="266"/>
      <c r="CE199" s="266">
        <v>1.83</v>
      </c>
      <c r="CF199" s="266"/>
      <c r="CG199" s="185">
        <v>1.75</v>
      </c>
    </row>
    <row r="200" spans="81:85" x14ac:dyDescent="0.3">
      <c r="CC200" s="269"/>
      <c r="CD200" s="266"/>
      <c r="CE200" s="266"/>
      <c r="CF200" s="266"/>
      <c r="CG200" s="185"/>
    </row>
    <row r="201" spans="81:85" x14ac:dyDescent="0.3">
      <c r="CC201" s="268"/>
      <c r="CD201" s="266"/>
      <c r="CE201" s="266"/>
      <c r="CF201" s="266"/>
      <c r="CG201" s="185"/>
    </row>
    <row r="202" spans="81:85" x14ac:dyDescent="0.3">
      <c r="CC202" s="269">
        <v>31.18</v>
      </c>
      <c r="CD202" s="266"/>
      <c r="CE202" s="266">
        <v>1.83</v>
      </c>
      <c r="CF202" s="266"/>
      <c r="CG202" s="185">
        <v>1.75</v>
      </c>
    </row>
    <row r="203" spans="81:85" x14ac:dyDescent="0.3">
      <c r="CC203" s="269"/>
      <c r="CD203" s="266"/>
      <c r="CE203" s="266"/>
      <c r="CF203" s="266"/>
      <c r="CG203" s="185"/>
    </row>
    <row r="204" spans="81:85" x14ac:dyDescent="0.3">
      <c r="CC204" s="269"/>
      <c r="CD204" s="266"/>
      <c r="CE204" s="266"/>
      <c r="CF204" s="266"/>
      <c r="CG204" s="185"/>
    </row>
  </sheetData>
  <autoFilter ref="A13:FV35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51"/>
  <sheetViews>
    <sheetView tabSelected="1" zoomScaleNormal="100" zoomScaleSheetLayoutView="100" workbookViewId="0">
      <selection activeCell="E26" sqref="E26"/>
    </sheetView>
  </sheetViews>
  <sheetFormatPr defaultRowHeight="15.6" x14ac:dyDescent="0.3"/>
  <cols>
    <col min="1" max="1" width="13.44140625" style="344" bestFit="1" customWidth="1"/>
    <col min="2" max="2" width="67.77734375" style="345" bestFit="1" customWidth="1"/>
    <col min="3" max="3" width="10.6640625" style="336" bestFit="1" customWidth="1"/>
    <col min="4" max="4" width="31.21875" style="336" bestFit="1" customWidth="1"/>
    <col min="5" max="5" width="11" style="336" bestFit="1" customWidth="1"/>
    <col min="6" max="6" width="41.5546875" style="336" customWidth="1"/>
    <col min="7" max="7" width="15.109375" style="337" customWidth="1"/>
    <col min="8" max="8" width="22" style="337" customWidth="1"/>
    <col min="9" max="9" width="9.109375" style="337" customWidth="1"/>
    <col min="10" max="10" width="17" style="337" customWidth="1"/>
    <col min="11" max="11" width="17.44140625" style="337" customWidth="1"/>
    <col min="12" max="12" width="23.6640625" style="337" bestFit="1" customWidth="1"/>
    <col min="13" max="13" width="21.33203125" style="337" customWidth="1"/>
    <col min="14" max="14" width="18.33203125" style="337" customWidth="1"/>
    <col min="15" max="19" width="14.6640625" style="337" customWidth="1"/>
    <col min="20" max="20" width="19" style="337" bestFit="1" customWidth="1"/>
    <col min="21" max="22" width="26.44140625" style="337" customWidth="1"/>
    <col min="23" max="81" width="14.6640625" style="337" customWidth="1"/>
    <col min="82" max="100" width="18.6640625" style="337" customWidth="1"/>
    <col min="101" max="150" width="14.6640625" style="337" customWidth="1"/>
    <col min="151" max="151" width="19.44140625" style="337" customWidth="1"/>
    <col min="152" max="176" width="14.6640625" style="337" customWidth="1"/>
    <col min="177" max="191" width="16.44140625" style="337" customWidth="1"/>
    <col min="192" max="192" width="22.109375" style="337" customWidth="1"/>
    <col min="193" max="220" width="16.44140625" style="337" customWidth="1"/>
    <col min="221" max="238" width="20.5546875" style="337" customWidth="1"/>
    <col min="239" max="242" width="15.88671875" style="337" customWidth="1"/>
    <col min="243" max="16384" width="8.88671875" style="337"/>
  </cols>
  <sheetData>
    <row r="1" spans="1:17" s="338" customFormat="1" ht="50.4" customHeight="1" x14ac:dyDescent="0.3">
      <c r="A1" s="335" t="s">
        <v>244</v>
      </c>
      <c r="B1" s="335"/>
      <c r="C1" s="335"/>
      <c r="D1" s="335"/>
      <c r="E1" s="336"/>
      <c r="F1" s="336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s="338" customFormat="1" x14ac:dyDescent="0.3">
      <c r="A2" s="279"/>
      <c r="B2" s="280"/>
      <c r="C2" s="281"/>
      <c r="D2" s="281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s="338" customFormat="1" ht="16.2" x14ac:dyDescent="0.3">
      <c r="A3" s="339" t="s">
        <v>287</v>
      </c>
      <c r="B3" s="340" t="s">
        <v>319</v>
      </c>
      <c r="C3" s="281"/>
      <c r="D3" s="281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s="338" customFormat="1" x14ac:dyDescent="0.3">
      <c r="A4" s="282"/>
      <c r="B4" s="283"/>
      <c r="C4" s="284"/>
      <c r="D4" s="284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s="338" customFormat="1" x14ac:dyDescent="0.3">
      <c r="A5" s="323" t="s">
        <v>228</v>
      </c>
      <c r="B5" s="285" t="s">
        <v>245</v>
      </c>
      <c r="C5" s="323" t="s">
        <v>238</v>
      </c>
      <c r="D5" s="323" t="s">
        <v>246</v>
      </c>
      <c r="E5" s="341"/>
      <c r="F5" s="341"/>
    </row>
    <row r="6" spans="1:17" s="338" customFormat="1" x14ac:dyDescent="0.3">
      <c r="A6" s="286">
        <v>1</v>
      </c>
      <c r="B6" s="287" t="s">
        <v>247</v>
      </c>
      <c r="C6" s="286" t="s">
        <v>295</v>
      </c>
      <c r="D6" s="288">
        <v>45007</v>
      </c>
      <c r="E6" s="341"/>
      <c r="F6" s="341"/>
    </row>
    <row r="7" spans="1:17" s="338" customFormat="1" x14ac:dyDescent="0.3">
      <c r="A7" s="286">
        <v>2</v>
      </c>
      <c r="B7" s="287" t="s">
        <v>248</v>
      </c>
      <c r="C7" s="286" t="s">
        <v>295</v>
      </c>
      <c r="D7" s="288">
        <v>44562</v>
      </c>
      <c r="E7" s="341"/>
      <c r="F7" s="341"/>
    </row>
    <row r="8" spans="1:17" s="338" customFormat="1" x14ac:dyDescent="0.3">
      <c r="A8" s="286">
        <v>3</v>
      </c>
      <c r="B8" s="287" t="s">
        <v>249</v>
      </c>
      <c r="C8" s="286" t="s">
        <v>295</v>
      </c>
      <c r="D8" s="288">
        <v>44926</v>
      </c>
      <c r="E8" s="341"/>
      <c r="F8" s="341"/>
    </row>
    <row r="9" spans="1:17" s="338" customFormat="1" x14ac:dyDescent="0.3">
      <c r="A9" s="330" t="s">
        <v>250</v>
      </c>
      <c r="B9" s="330"/>
      <c r="C9" s="330"/>
      <c r="D9" s="330"/>
      <c r="E9" s="341"/>
      <c r="F9" s="341"/>
    </row>
    <row r="10" spans="1:17" s="338" customFormat="1" ht="31.2" x14ac:dyDescent="0.3">
      <c r="A10" s="286">
        <v>4</v>
      </c>
      <c r="B10" s="287" t="s">
        <v>251</v>
      </c>
      <c r="C10" s="286"/>
      <c r="D10" s="289">
        <v>-276435</v>
      </c>
      <c r="E10" s="341"/>
      <c r="F10" s="341"/>
    </row>
    <row r="11" spans="1:17" s="338" customFormat="1" x14ac:dyDescent="0.3">
      <c r="A11" s="286"/>
      <c r="B11" s="290" t="s">
        <v>252</v>
      </c>
      <c r="C11" s="286" t="s">
        <v>239</v>
      </c>
      <c r="D11" s="291" t="s">
        <v>295</v>
      </c>
      <c r="E11" s="341"/>
      <c r="F11" s="341"/>
    </row>
    <row r="12" spans="1:17" s="338" customFormat="1" x14ac:dyDescent="0.3">
      <c r="A12" s="286"/>
      <c r="B12" s="290" t="s">
        <v>253</v>
      </c>
      <c r="C12" s="286" t="s">
        <v>239</v>
      </c>
      <c r="D12" s="291">
        <v>255194</v>
      </c>
      <c r="E12" s="341"/>
      <c r="F12" s="341"/>
    </row>
    <row r="13" spans="1:17" s="338" customFormat="1" ht="46.8" x14ac:dyDescent="0.3">
      <c r="A13" s="286">
        <v>5</v>
      </c>
      <c r="B13" s="287" t="s">
        <v>254</v>
      </c>
      <c r="C13" s="323" t="s">
        <v>239</v>
      </c>
      <c r="D13" s="292">
        <f>D14</f>
        <v>202746</v>
      </c>
      <c r="E13" s="341"/>
      <c r="F13" s="341"/>
    </row>
    <row r="14" spans="1:17" s="338" customFormat="1" x14ac:dyDescent="0.3">
      <c r="A14" s="286"/>
      <c r="B14" s="290" t="s">
        <v>288</v>
      </c>
      <c r="C14" s="286" t="s">
        <v>239</v>
      </c>
      <c r="D14" s="291">
        <v>202746</v>
      </c>
      <c r="E14" s="341"/>
      <c r="F14" s="341"/>
    </row>
    <row r="15" spans="1:17" s="338" customFormat="1" x14ac:dyDescent="0.3">
      <c r="A15" s="286">
        <v>6</v>
      </c>
      <c r="B15" s="287" t="s">
        <v>255</v>
      </c>
      <c r="C15" s="323" t="s">
        <v>239</v>
      </c>
      <c r="D15" s="292">
        <f>D16</f>
        <v>22548</v>
      </c>
      <c r="E15" s="341"/>
      <c r="F15" s="341"/>
    </row>
    <row r="16" spans="1:17" s="338" customFormat="1" x14ac:dyDescent="0.3">
      <c r="A16" s="286"/>
      <c r="B16" s="290" t="s">
        <v>256</v>
      </c>
      <c r="C16" s="286" t="s">
        <v>239</v>
      </c>
      <c r="D16" s="291">
        <v>22548</v>
      </c>
      <c r="E16" s="341"/>
      <c r="F16" s="341"/>
    </row>
    <row r="17" spans="1:6" s="338" customFormat="1" ht="31.2" x14ac:dyDescent="0.3">
      <c r="A17" s="286">
        <v>7</v>
      </c>
      <c r="B17" s="287" t="s">
        <v>257</v>
      </c>
      <c r="C17" s="323" t="s">
        <v>239</v>
      </c>
      <c r="D17" s="292">
        <f>D18+D19</f>
        <v>210202</v>
      </c>
      <c r="E17" s="341"/>
      <c r="F17" s="341"/>
    </row>
    <row r="18" spans="1:6" s="338" customFormat="1" x14ac:dyDescent="0.3">
      <c r="A18" s="286"/>
      <c r="B18" s="290" t="s">
        <v>289</v>
      </c>
      <c r="C18" s="286" t="s">
        <v>239</v>
      </c>
      <c r="D18" s="291">
        <v>185509</v>
      </c>
      <c r="E18" s="341"/>
      <c r="F18" s="341"/>
    </row>
    <row r="19" spans="1:6" s="338" customFormat="1" x14ac:dyDescent="0.3">
      <c r="A19" s="286"/>
      <c r="B19" s="290" t="s">
        <v>256</v>
      </c>
      <c r="C19" s="286" t="s">
        <v>239</v>
      </c>
      <c r="D19" s="291">
        <v>24693</v>
      </c>
      <c r="E19" s="341"/>
      <c r="F19" s="341"/>
    </row>
    <row r="20" spans="1:6" s="338" customFormat="1" x14ac:dyDescent="0.3">
      <c r="A20" s="293">
        <v>8</v>
      </c>
      <c r="B20" s="294" t="s">
        <v>258</v>
      </c>
      <c r="C20" s="295" t="s">
        <v>239</v>
      </c>
      <c r="D20" s="296">
        <f>D17</f>
        <v>210202</v>
      </c>
      <c r="E20" s="341"/>
      <c r="F20" s="341"/>
    </row>
    <row r="21" spans="1:6" s="338" customFormat="1" ht="31.2" x14ac:dyDescent="0.3">
      <c r="A21" s="286">
        <v>9</v>
      </c>
      <c r="B21" s="287" t="s">
        <v>259</v>
      </c>
      <c r="C21" s="286"/>
      <c r="D21" s="289">
        <v>-376122</v>
      </c>
      <c r="E21" s="342"/>
      <c r="F21" s="341"/>
    </row>
    <row r="22" spans="1:6" s="338" customFormat="1" x14ac:dyDescent="0.3">
      <c r="A22" s="286"/>
      <c r="B22" s="290" t="s">
        <v>260</v>
      </c>
      <c r="C22" s="286" t="s">
        <v>239</v>
      </c>
      <c r="D22" s="291" t="s">
        <v>295</v>
      </c>
      <c r="E22" s="341"/>
      <c r="F22" s="341"/>
    </row>
    <row r="23" spans="1:6" s="338" customFormat="1" x14ac:dyDescent="0.3">
      <c r="A23" s="286"/>
      <c r="B23" s="290" t="s">
        <v>261</v>
      </c>
      <c r="C23" s="286" t="s">
        <v>239</v>
      </c>
      <c r="D23" s="291">
        <f>D12+D13+D15-D20</f>
        <v>270286</v>
      </c>
      <c r="E23" s="341"/>
      <c r="F23" s="341"/>
    </row>
    <row r="24" spans="1:6" s="338" customFormat="1" ht="16.2" thickBot="1" x14ac:dyDescent="0.35">
      <c r="A24" s="331" t="s">
        <v>262</v>
      </c>
      <c r="B24" s="331"/>
      <c r="C24" s="331"/>
      <c r="D24" s="331"/>
      <c r="E24" s="341"/>
      <c r="F24" s="341"/>
    </row>
    <row r="25" spans="1:6" s="338" customFormat="1" ht="31.8" thickTop="1" x14ac:dyDescent="0.3">
      <c r="A25" s="297">
        <v>10</v>
      </c>
      <c r="B25" s="298" t="s">
        <v>241</v>
      </c>
      <c r="C25" s="299"/>
      <c r="D25" s="300" t="s">
        <v>316</v>
      </c>
      <c r="E25" s="342"/>
      <c r="F25" s="341"/>
    </row>
    <row r="26" spans="1:6" s="338" customFormat="1" x14ac:dyDescent="0.3">
      <c r="A26" s="301"/>
      <c r="B26" s="290" t="s">
        <v>263</v>
      </c>
      <c r="C26" s="286" t="s">
        <v>239</v>
      </c>
      <c r="D26" s="302">
        <v>58668</v>
      </c>
      <c r="E26" s="342"/>
      <c r="F26" s="343"/>
    </row>
    <row r="27" spans="1:6" s="338" customFormat="1" ht="31.2" x14ac:dyDescent="0.3">
      <c r="A27" s="301"/>
      <c r="B27" s="290" t="s">
        <v>264</v>
      </c>
      <c r="C27" s="286"/>
      <c r="D27" s="303" t="s">
        <v>311</v>
      </c>
      <c r="E27" s="342"/>
      <c r="F27" s="341"/>
    </row>
    <row r="28" spans="1:6" s="338" customFormat="1" ht="16.2" thickBot="1" x14ac:dyDescent="0.35">
      <c r="A28" s="304"/>
      <c r="B28" s="305" t="s">
        <v>265</v>
      </c>
      <c r="C28" s="306"/>
      <c r="D28" s="307" t="s">
        <v>267</v>
      </c>
      <c r="E28" s="341"/>
      <c r="F28" s="341"/>
    </row>
    <row r="29" spans="1:6" s="338" customFormat="1" ht="47.4" thickTop="1" x14ac:dyDescent="0.3">
      <c r="A29" s="297">
        <v>11</v>
      </c>
      <c r="B29" s="308" t="s">
        <v>241</v>
      </c>
      <c r="C29" s="309"/>
      <c r="D29" s="300" t="s">
        <v>229</v>
      </c>
      <c r="E29" s="341"/>
      <c r="F29" s="341"/>
    </row>
    <row r="30" spans="1:6" s="338" customFormat="1" x14ac:dyDescent="0.3">
      <c r="A30" s="301"/>
      <c r="B30" s="290" t="s">
        <v>263</v>
      </c>
      <c r="C30" s="286" t="s">
        <v>239</v>
      </c>
      <c r="D30" s="302"/>
      <c r="E30" s="341"/>
      <c r="F30" s="341"/>
    </row>
    <row r="31" spans="1:6" s="338" customFormat="1" ht="31.2" x14ac:dyDescent="0.3">
      <c r="A31" s="301"/>
      <c r="B31" s="290" t="s">
        <v>264</v>
      </c>
      <c r="C31" s="286"/>
      <c r="D31" s="303" t="s">
        <v>311</v>
      </c>
      <c r="E31" s="341"/>
      <c r="F31" s="341"/>
    </row>
    <row r="32" spans="1:6" s="338" customFormat="1" ht="16.2" thickBot="1" x14ac:dyDescent="0.35">
      <c r="A32" s="304"/>
      <c r="B32" s="305" t="s">
        <v>265</v>
      </c>
      <c r="C32" s="306"/>
      <c r="D32" s="307" t="s">
        <v>267</v>
      </c>
      <c r="E32" s="341"/>
      <c r="F32" s="341"/>
    </row>
    <row r="33" spans="1:6" s="338" customFormat="1" ht="31.8" thickTop="1" x14ac:dyDescent="0.3">
      <c r="A33" s="297">
        <v>13</v>
      </c>
      <c r="B33" s="308" t="s">
        <v>241</v>
      </c>
      <c r="C33" s="309"/>
      <c r="D33" s="300" t="s">
        <v>317</v>
      </c>
      <c r="E33" s="341"/>
      <c r="F33" s="341"/>
    </row>
    <row r="34" spans="1:6" s="338" customFormat="1" x14ac:dyDescent="0.3">
      <c r="A34" s="301"/>
      <c r="B34" s="290" t="s">
        <v>263</v>
      </c>
      <c r="C34" s="286" t="s">
        <v>239</v>
      </c>
      <c r="D34" s="302">
        <v>57708</v>
      </c>
      <c r="E34" s="341"/>
      <c r="F34" s="341"/>
    </row>
    <row r="35" spans="1:6" s="338" customFormat="1" ht="31.2" x14ac:dyDescent="0.3">
      <c r="A35" s="301"/>
      <c r="B35" s="290" t="s">
        <v>264</v>
      </c>
      <c r="C35" s="286"/>
      <c r="D35" s="303" t="s">
        <v>311</v>
      </c>
      <c r="E35" s="341"/>
      <c r="F35" s="341"/>
    </row>
    <row r="36" spans="1:6" s="338" customFormat="1" ht="16.2" thickBot="1" x14ac:dyDescent="0.35">
      <c r="A36" s="304"/>
      <c r="B36" s="305" t="s">
        <v>265</v>
      </c>
      <c r="C36" s="306"/>
      <c r="D36" s="307" t="s">
        <v>267</v>
      </c>
      <c r="E36" s="341"/>
      <c r="F36" s="341"/>
    </row>
    <row r="37" spans="1:6" s="338" customFormat="1" ht="16.2" thickTop="1" x14ac:dyDescent="0.3">
      <c r="A37" s="297">
        <v>14</v>
      </c>
      <c r="B37" s="308" t="s">
        <v>241</v>
      </c>
      <c r="C37" s="309"/>
      <c r="D37" s="300" t="s">
        <v>230</v>
      </c>
      <c r="E37" s="341"/>
      <c r="F37" s="341"/>
    </row>
    <row r="38" spans="1:6" s="338" customFormat="1" x14ac:dyDescent="0.3">
      <c r="A38" s="301"/>
      <c r="B38" s="290" t="s">
        <v>263</v>
      </c>
      <c r="C38" s="286" t="s">
        <v>239</v>
      </c>
      <c r="D38" s="302">
        <v>12174</v>
      </c>
      <c r="E38" s="341"/>
      <c r="F38" s="341"/>
    </row>
    <row r="39" spans="1:6" s="338" customFormat="1" ht="31.2" x14ac:dyDescent="0.3">
      <c r="A39" s="301"/>
      <c r="B39" s="290" t="s">
        <v>264</v>
      </c>
      <c r="C39" s="286"/>
      <c r="D39" s="303" t="s">
        <v>311</v>
      </c>
      <c r="E39" s="341"/>
      <c r="F39" s="341"/>
    </row>
    <row r="40" spans="1:6" s="338" customFormat="1" ht="16.2" thickBot="1" x14ac:dyDescent="0.35">
      <c r="A40" s="304"/>
      <c r="B40" s="305" t="s">
        <v>265</v>
      </c>
      <c r="C40" s="306"/>
      <c r="D40" s="307" t="s">
        <v>266</v>
      </c>
      <c r="E40" s="341"/>
      <c r="F40" s="341"/>
    </row>
    <row r="41" spans="1:6" s="338" customFormat="1" ht="31.8" thickTop="1" x14ac:dyDescent="0.3">
      <c r="A41" s="297">
        <v>15</v>
      </c>
      <c r="B41" s="308" t="s">
        <v>241</v>
      </c>
      <c r="C41" s="309"/>
      <c r="D41" s="300" t="s">
        <v>231</v>
      </c>
      <c r="E41" s="341"/>
      <c r="F41" s="341"/>
    </row>
    <row r="42" spans="1:6" s="338" customFormat="1" x14ac:dyDescent="0.3">
      <c r="A42" s="301"/>
      <c r="B42" s="290" t="s">
        <v>263</v>
      </c>
      <c r="C42" s="286" t="s">
        <v>239</v>
      </c>
      <c r="D42" s="302"/>
      <c r="E42" s="341"/>
      <c r="F42" s="341"/>
    </row>
    <row r="43" spans="1:6" s="338" customFormat="1" x14ac:dyDescent="0.3">
      <c r="A43" s="301"/>
      <c r="B43" s="290" t="s">
        <v>264</v>
      </c>
      <c r="C43" s="286"/>
      <c r="D43" s="303" t="s">
        <v>268</v>
      </c>
      <c r="E43" s="341"/>
      <c r="F43" s="341"/>
    </row>
    <row r="44" spans="1:6" s="338" customFormat="1" ht="31.8" thickBot="1" x14ac:dyDescent="0.35">
      <c r="A44" s="304"/>
      <c r="B44" s="305" t="s">
        <v>265</v>
      </c>
      <c r="C44" s="306"/>
      <c r="D44" s="307" t="s">
        <v>290</v>
      </c>
      <c r="E44" s="341"/>
      <c r="F44" s="341"/>
    </row>
    <row r="45" spans="1:6" s="338" customFormat="1" ht="16.2" thickTop="1" x14ac:dyDescent="0.3">
      <c r="A45" s="297">
        <v>20</v>
      </c>
      <c r="B45" s="308" t="s">
        <v>241</v>
      </c>
      <c r="C45" s="309"/>
      <c r="D45" s="300" t="s">
        <v>308</v>
      </c>
      <c r="E45" s="341"/>
      <c r="F45" s="341"/>
    </row>
    <row r="46" spans="1:6" s="338" customFormat="1" x14ac:dyDescent="0.3">
      <c r="A46" s="301"/>
      <c r="B46" s="290" t="s">
        <v>263</v>
      </c>
      <c r="C46" s="286" t="s">
        <v>239</v>
      </c>
      <c r="D46" s="302">
        <v>11704</v>
      </c>
      <c r="E46" s="341"/>
      <c r="F46" s="341"/>
    </row>
    <row r="47" spans="1:6" s="338" customFormat="1" x14ac:dyDescent="0.3">
      <c r="A47" s="301"/>
      <c r="B47" s="290" t="s">
        <v>264</v>
      </c>
      <c r="C47" s="286"/>
      <c r="D47" s="303" t="s">
        <v>268</v>
      </c>
      <c r="E47" s="341"/>
      <c r="F47" s="341"/>
    </row>
    <row r="48" spans="1:6" s="338" customFormat="1" ht="16.2" thickBot="1" x14ac:dyDescent="0.35">
      <c r="A48" s="304"/>
      <c r="B48" s="305" t="s">
        <v>265</v>
      </c>
      <c r="C48" s="306"/>
      <c r="D48" s="307" t="s">
        <v>266</v>
      </c>
      <c r="E48" s="341"/>
      <c r="F48" s="341"/>
    </row>
    <row r="49" spans="1:6" s="338" customFormat="1" ht="16.2" thickTop="1" x14ac:dyDescent="0.3">
      <c r="A49" s="297">
        <v>21</v>
      </c>
      <c r="B49" s="308" t="s">
        <v>241</v>
      </c>
      <c r="C49" s="309"/>
      <c r="D49" s="300" t="s">
        <v>240</v>
      </c>
      <c r="E49" s="341"/>
      <c r="F49" s="341"/>
    </row>
    <row r="50" spans="1:6" s="338" customFormat="1" x14ac:dyDescent="0.3">
      <c r="A50" s="301"/>
      <c r="B50" s="290" t="s">
        <v>263</v>
      </c>
      <c r="C50" s="286" t="s">
        <v>239</v>
      </c>
      <c r="D50" s="302">
        <v>10297</v>
      </c>
      <c r="E50" s="341"/>
      <c r="F50" s="341"/>
    </row>
    <row r="51" spans="1:6" s="338" customFormat="1" x14ac:dyDescent="0.3">
      <c r="A51" s="301"/>
      <c r="B51" s="290" t="s">
        <v>264</v>
      </c>
      <c r="C51" s="286"/>
      <c r="D51" s="303" t="s">
        <v>268</v>
      </c>
      <c r="E51" s="341"/>
      <c r="F51" s="341"/>
    </row>
    <row r="52" spans="1:6" s="338" customFormat="1" ht="16.2" thickBot="1" x14ac:dyDescent="0.35">
      <c r="A52" s="304"/>
      <c r="B52" s="305" t="s">
        <v>265</v>
      </c>
      <c r="C52" s="306"/>
      <c r="D52" s="307" t="s">
        <v>291</v>
      </c>
      <c r="E52" s="341"/>
      <c r="F52" s="341"/>
    </row>
    <row r="53" spans="1:6" s="338" customFormat="1" ht="31.8" thickTop="1" x14ac:dyDescent="0.3">
      <c r="A53" s="297">
        <v>22</v>
      </c>
      <c r="B53" s="308" t="s">
        <v>241</v>
      </c>
      <c r="C53" s="309"/>
      <c r="D53" s="300" t="s">
        <v>313</v>
      </c>
      <c r="E53" s="341"/>
      <c r="F53" s="341"/>
    </row>
    <row r="54" spans="1:6" s="338" customFormat="1" x14ac:dyDescent="0.3">
      <c r="A54" s="301"/>
      <c r="B54" s="290" t="s">
        <v>263</v>
      </c>
      <c r="C54" s="286" t="s">
        <v>239</v>
      </c>
      <c r="D54" s="302">
        <v>2889</v>
      </c>
      <c r="E54" s="341"/>
      <c r="F54" s="341"/>
    </row>
    <row r="55" spans="1:6" s="338" customFormat="1" x14ac:dyDescent="0.3">
      <c r="A55" s="301"/>
      <c r="B55" s="290" t="s">
        <v>264</v>
      </c>
      <c r="C55" s="286"/>
      <c r="D55" s="303" t="s">
        <v>268</v>
      </c>
      <c r="E55" s="341"/>
      <c r="F55" s="341"/>
    </row>
    <row r="56" spans="1:6" s="338" customFormat="1" ht="16.2" thickBot="1" x14ac:dyDescent="0.35">
      <c r="A56" s="304"/>
      <c r="B56" s="305" t="s">
        <v>265</v>
      </c>
      <c r="C56" s="306"/>
      <c r="D56" s="307" t="s">
        <v>291</v>
      </c>
      <c r="E56" s="341"/>
      <c r="F56" s="341"/>
    </row>
    <row r="57" spans="1:6" s="338" customFormat="1" ht="16.2" thickTop="1" x14ac:dyDescent="0.3">
      <c r="A57" s="297">
        <v>24</v>
      </c>
      <c r="B57" s="308" t="s">
        <v>241</v>
      </c>
      <c r="C57" s="309"/>
      <c r="D57" s="300" t="s">
        <v>242</v>
      </c>
      <c r="E57" s="341"/>
      <c r="F57" s="341"/>
    </row>
    <row r="58" spans="1:6" s="338" customFormat="1" x14ac:dyDescent="0.3">
      <c r="A58" s="301"/>
      <c r="B58" s="290" t="s">
        <v>263</v>
      </c>
      <c r="C58" s="286" t="s">
        <v>239</v>
      </c>
      <c r="D58" s="302"/>
      <c r="E58" s="341"/>
      <c r="F58" s="341"/>
    </row>
    <row r="59" spans="1:6" s="338" customFormat="1" ht="31.2" x14ac:dyDescent="0.3">
      <c r="A59" s="301"/>
      <c r="B59" s="290" t="s">
        <v>264</v>
      </c>
      <c r="C59" s="286"/>
      <c r="D59" s="303" t="s">
        <v>312</v>
      </c>
      <c r="E59" s="341"/>
      <c r="F59" s="341"/>
    </row>
    <row r="60" spans="1:6" s="338" customFormat="1" ht="16.2" thickBot="1" x14ac:dyDescent="0.35">
      <c r="A60" s="304"/>
      <c r="B60" s="305" t="s">
        <v>265</v>
      </c>
      <c r="C60" s="306"/>
      <c r="D60" s="307" t="s">
        <v>269</v>
      </c>
      <c r="E60" s="341"/>
      <c r="F60" s="341"/>
    </row>
    <row r="61" spans="1:6" s="338" customFormat="1" ht="16.2" thickTop="1" x14ac:dyDescent="0.3">
      <c r="A61" s="297">
        <v>26</v>
      </c>
      <c r="B61" s="308" t="s">
        <v>241</v>
      </c>
      <c r="C61" s="309"/>
      <c r="D61" s="300" t="s">
        <v>318</v>
      </c>
      <c r="E61" s="341"/>
      <c r="F61" s="341"/>
    </row>
    <row r="62" spans="1:6" s="338" customFormat="1" x14ac:dyDescent="0.3">
      <c r="A62" s="301"/>
      <c r="B62" s="290" t="s">
        <v>263</v>
      </c>
      <c r="C62" s="286" t="s">
        <v>239</v>
      </c>
      <c r="D62" s="302">
        <v>18855</v>
      </c>
      <c r="E62" s="341"/>
      <c r="F62" s="341"/>
    </row>
    <row r="63" spans="1:6" s="338" customFormat="1" x14ac:dyDescent="0.3">
      <c r="A63" s="301"/>
      <c r="B63" s="290" t="s">
        <v>264</v>
      </c>
      <c r="C63" s="286"/>
      <c r="D63" s="303"/>
      <c r="E63" s="341"/>
      <c r="F63" s="341"/>
    </row>
    <row r="64" spans="1:6" s="338" customFormat="1" ht="31.8" thickBot="1" x14ac:dyDescent="0.35">
      <c r="A64" s="304"/>
      <c r="B64" s="305" t="s">
        <v>265</v>
      </c>
      <c r="C64" s="306"/>
      <c r="D64" s="307" t="s">
        <v>290</v>
      </c>
      <c r="E64" s="341"/>
      <c r="F64" s="341"/>
    </row>
    <row r="65" spans="1:6" s="338" customFormat="1" ht="16.2" thickTop="1" x14ac:dyDescent="0.3">
      <c r="A65" s="297">
        <v>27</v>
      </c>
      <c r="B65" s="308" t="s">
        <v>241</v>
      </c>
      <c r="C65" s="309"/>
      <c r="D65" s="300" t="s">
        <v>72</v>
      </c>
      <c r="E65" s="341"/>
      <c r="F65" s="341"/>
    </row>
    <row r="66" spans="1:6" s="338" customFormat="1" x14ac:dyDescent="0.3">
      <c r="A66" s="301"/>
      <c r="B66" s="290" t="s">
        <v>263</v>
      </c>
      <c r="C66" s="286" t="s">
        <v>239</v>
      </c>
      <c r="D66" s="302"/>
      <c r="E66" s="341"/>
      <c r="F66" s="341"/>
    </row>
    <row r="67" spans="1:6" s="338" customFormat="1" ht="31.2" x14ac:dyDescent="0.3">
      <c r="A67" s="301"/>
      <c r="B67" s="290" t="s">
        <v>264</v>
      </c>
      <c r="C67" s="286"/>
      <c r="D67" s="303" t="s">
        <v>310</v>
      </c>
      <c r="E67" s="341"/>
      <c r="F67" s="341"/>
    </row>
    <row r="68" spans="1:6" s="338" customFormat="1" ht="16.2" thickBot="1" x14ac:dyDescent="0.35">
      <c r="A68" s="304"/>
      <c r="B68" s="305" t="s">
        <v>265</v>
      </c>
      <c r="C68" s="306"/>
      <c r="D68" s="307" t="s">
        <v>269</v>
      </c>
      <c r="E68" s="341"/>
      <c r="F68" s="341"/>
    </row>
    <row r="69" spans="1:6" s="338" customFormat="1" ht="31.8" thickTop="1" x14ac:dyDescent="0.3">
      <c r="A69" s="297">
        <v>29</v>
      </c>
      <c r="B69" s="308" t="s">
        <v>241</v>
      </c>
      <c r="C69" s="309"/>
      <c r="D69" s="300" t="s">
        <v>233</v>
      </c>
      <c r="E69" s="341"/>
      <c r="F69" s="341"/>
    </row>
    <row r="70" spans="1:6" s="338" customFormat="1" x14ac:dyDescent="0.3">
      <c r="A70" s="301"/>
      <c r="B70" s="290" t="s">
        <v>263</v>
      </c>
      <c r="C70" s="286" t="s">
        <v>239</v>
      </c>
      <c r="D70" s="302"/>
      <c r="E70" s="341"/>
      <c r="F70" s="341"/>
    </row>
    <row r="71" spans="1:6" s="338" customFormat="1" ht="31.2" x14ac:dyDescent="0.3">
      <c r="A71" s="301"/>
      <c r="B71" s="290" t="s">
        <v>264</v>
      </c>
      <c r="C71" s="286"/>
      <c r="D71" s="303" t="s">
        <v>309</v>
      </c>
      <c r="E71" s="341"/>
      <c r="F71" s="341"/>
    </row>
    <row r="72" spans="1:6" s="338" customFormat="1" ht="31.8" thickBot="1" x14ac:dyDescent="0.35">
      <c r="A72" s="304"/>
      <c r="B72" s="305" t="s">
        <v>265</v>
      </c>
      <c r="C72" s="306"/>
      <c r="D72" s="307" t="s">
        <v>290</v>
      </c>
      <c r="E72" s="341"/>
      <c r="F72" s="341"/>
    </row>
    <row r="73" spans="1:6" s="338" customFormat="1" ht="31.8" thickTop="1" x14ac:dyDescent="0.3">
      <c r="A73" s="297">
        <v>30</v>
      </c>
      <c r="B73" s="308" t="s">
        <v>241</v>
      </c>
      <c r="C73" s="309"/>
      <c r="D73" s="300" t="s">
        <v>155</v>
      </c>
      <c r="E73" s="341"/>
      <c r="F73" s="341"/>
    </row>
    <row r="74" spans="1:6" s="338" customFormat="1" x14ac:dyDescent="0.3">
      <c r="A74" s="301"/>
      <c r="B74" s="290" t="s">
        <v>263</v>
      </c>
      <c r="C74" s="286" t="s">
        <v>239</v>
      </c>
      <c r="D74" s="302"/>
      <c r="E74" s="341"/>
      <c r="F74" s="341"/>
    </row>
    <row r="75" spans="1:6" s="338" customFormat="1" ht="31.2" x14ac:dyDescent="0.3">
      <c r="A75" s="301"/>
      <c r="B75" s="290" t="s">
        <v>264</v>
      </c>
      <c r="C75" s="286"/>
      <c r="D75" s="303" t="s">
        <v>309</v>
      </c>
      <c r="E75" s="341"/>
      <c r="F75" s="341"/>
    </row>
    <row r="76" spans="1:6" s="338" customFormat="1" ht="31.8" thickBot="1" x14ac:dyDescent="0.35">
      <c r="A76" s="304"/>
      <c r="B76" s="305" t="s">
        <v>265</v>
      </c>
      <c r="C76" s="306"/>
      <c r="D76" s="307" t="s">
        <v>290</v>
      </c>
      <c r="E76" s="341"/>
      <c r="F76" s="341"/>
    </row>
    <row r="77" spans="1:6" s="338" customFormat="1" ht="31.8" thickTop="1" x14ac:dyDescent="0.3">
      <c r="A77" s="297">
        <v>31</v>
      </c>
      <c r="B77" s="308" t="s">
        <v>241</v>
      </c>
      <c r="C77" s="309"/>
      <c r="D77" s="300" t="s">
        <v>232</v>
      </c>
      <c r="E77" s="341"/>
      <c r="F77" s="341"/>
    </row>
    <row r="78" spans="1:6" s="338" customFormat="1" x14ac:dyDescent="0.3">
      <c r="A78" s="301"/>
      <c r="B78" s="290" t="s">
        <v>263</v>
      </c>
      <c r="C78" s="286" t="s">
        <v>239</v>
      </c>
      <c r="D78" s="302">
        <v>1670</v>
      </c>
      <c r="E78" s="341"/>
      <c r="F78" s="341"/>
    </row>
    <row r="79" spans="1:6" s="338" customFormat="1" x14ac:dyDescent="0.3">
      <c r="A79" s="301"/>
      <c r="B79" s="290" t="s">
        <v>264</v>
      </c>
      <c r="C79" s="286"/>
      <c r="D79" s="303" t="s">
        <v>314</v>
      </c>
      <c r="E79" s="341"/>
      <c r="F79" s="341"/>
    </row>
    <row r="80" spans="1:6" s="338" customFormat="1" ht="16.2" thickBot="1" x14ac:dyDescent="0.35">
      <c r="A80" s="304"/>
      <c r="B80" s="305" t="s">
        <v>265</v>
      </c>
      <c r="C80" s="306"/>
      <c r="D80" s="307" t="s">
        <v>269</v>
      </c>
      <c r="E80" s="341"/>
      <c r="F80" s="341"/>
    </row>
    <row r="81" spans="1:6" s="338" customFormat="1" ht="31.8" thickTop="1" x14ac:dyDescent="0.3">
      <c r="A81" s="297">
        <v>32</v>
      </c>
      <c r="B81" s="308" t="s">
        <v>241</v>
      </c>
      <c r="C81" s="309"/>
      <c r="D81" s="300" t="s">
        <v>235</v>
      </c>
      <c r="E81" s="341"/>
      <c r="F81" s="341"/>
    </row>
    <row r="82" spans="1:6" s="338" customFormat="1" x14ac:dyDescent="0.3">
      <c r="A82" s="301"/>
      <c r="B82" s="290" t="s">
        <v>263</v>
      </c>
      <c r="C82" s="286" t="s">
        <v>239</v>
      </c>
      <c r="D82" s="302">
        <v>29735</v>
      </c>
      <c r="E82" s="341"/>
      <c r="F82" s="341"/>
    </row>
    <row r="83" spans="1:6" s="338" customFormat="1" x14ac:dyDescent="0.3">
      <c r="A83" s="301"/>
      <c r="B83" s="290" t="s">
        <v>264</v>
      </c>
      <c r="C83" s="286"/>
      <c r="D83" s="303" t="s">
        <v>292</v>
      </c>
      <c r="E83" s="341"/>
      <c r="F83" s="341"/>
    </row>
    <row r="84" spans="1:6" s="338" customFormat="1" ht="16.2" thickBot="1" x14ac:dyDescent="0.35">
      <c r="A84" s="304"/>
      <c r="B84" s="305" t="s">
        <v>265</v>
      </c>
      <c r="C84" s="306"/>
      <c r="D84" s="307" t="s">
        <v>270</v>
      </c>
      <c r="E84" s="341"/>
      <c r="F84" s="341"/>
    </row>
    <row r="85" spans="1:6" s="338" customFormat="1" ht="16.2" thickTop="1" x14ac:dyDescent="0.3">
      <c r="A85" s="297">
        <v>33</v>
      </c>
      <c r="B85" s="308" t="s">
        <v>241</v>
      </c>
      <c r="C85" s="309"/>
      <c r="D85" s="303" t="s">
        <v>234</v>
      </c>
      <c r="E85" s="341"/>
      <c r="F85" s="341"/>
    </row>
    <row r="86" spans="1:6" s="338" customFormat="1" x14ac:dyDescent="0.3">
      <c r="A86" s="301"/>
      <c r="B86" s="290" t="s">
        <v>263</v>
      </c>
      <c r="C86" s="286" t="s">
        <v>239</v>
      </c>
      <c r="D86" s="302">
        <v>22030</v>
      </c>
      <c r="E86" s="341"/>
      <c r="F86" s="341"/>
    </row>
    <row r="87" spans="1:6" s="338" customFormat="1" x14ac:dyDescent="0.3">
      <c r="A87" s="301"/>
      <c r="B87" s="290" t="s">
        <v>264</v>
      </c>
      <c r="C87" s="286"/>
      <c r="D87" s="303" t="s">
        <v>268</v>
      </c>
      <c r="E87" s="341"/>
      <c r="F87" s="341"/>
    </row>
    <row r="88" spans="1:6" s="338" customFormat="1" ht="16.2" thickBot="1" x14ac:dyDescent="0.35">
      <c r="A88" s="304"/>
      <c r="B88" s="305" t="s">
        <v>265</v>
      </c>
      <c r="C88" s="306"/>
      <c r="D88" s="307" t="s">
        <v>291</v>
      </c>
      <c r="E88" s="341"/>
      <c r="F88" s="341"/>
    </row>
    <row r="89" spans="1:6" s="338" customFormat="1" ht="16.8" thickTop="1" thickBot="1" x14ac:dyDescent="0.35">
      <c r="A89" s="332" t="s">
        <v>293</v>
      </c>
      <c r="B89" s="333"/>
      <c r="C89" s="333"/>
      <c r="D89" s="334"/>
      <c r="E89" s="341"/>
      <c r="F89" s="341"/>
    </row>
    <row r="90" spans="1:6" s="338" customFormat="1" ht="16.2" thickTop="1" x14ac:dyDescent="0.3">
      <c r="A90" s="297">
        <v>34</v>
      </c>
      <c r="B90" s="312" t="s">
        <v>294</v>
      </c>
      <c r="C90" s="309" t="s">
        <v>284</v>
      </c>
      <c r="D90" s="313" t="s">
        <v>295</v>
      </c>
      <c r="E90" s="341"/>
      <c r="F90" s="341"/>
    </row>
    <row r="91" spans="1:6" s="338" customFormat="1" x14ac:dyDescent="0.3">
      <c r="A91" s="314"/>
      <c r="B91" s="315" t="s">
        <v>296</v>
      </c>
      <c r="C91" s="286" t="s">
        <v>284</v>
      </c>
      <c r="D91" s="311" t="s">
        <v>295</v>
      </c>
      <c r="E91" s="341"/>
      <c r="F91" s="341"/>
    </row>
    <row r="92" spans="1:6" s="338" customFormat="1" x14ac:dyDescent="0.3">
      <c r="A92" s="314"/>
      <c r="B92" s="315" t="s">
        <v>297</v>
      </c>
      <c r="C92" s="286" t="s">
        <v>284</v>
      </c>
      <c r="D92" s="311" t="s">
        <v>295</v>
      </c>
      <c r="E92" s="341"/>
      <c r="F92" s="341"/>
    </row>
    <row r="93" spans="1:6" s="338" customFormat="1" ht="16.2" thickBot="1" x14ac:dyDescent="0.35">
      <c r="A93" s="316"/>
      <c r="B93" s="317" t="s">
        <v>298</v>
      </c>
      <c r="C93" s="306" t="s">
        <v>239</v>
      </c>
      <c r="D93" s="318" t="s">
        <v>295</v>
      </c>
      <c r="E93" s="341"/>
      <c r="F93" s="341"/>
    </row>
    <row r="94" spans="1:6" s="338" customFormat="1" ht="16.8" thickTop="1" thickBot="1" x14ac:dyDescent="0.35">
      <c r="A94" s="324" t="s">
        <v>299</v>
      </c>
      <c r="B94" s="325"/>
      <c r="C94" s="325"/>
      <c r="D94" s="326"/>
      <c r="E94" s="341"/>
      <c r="F94" s="341"/>
    </row>
    <row r="95" spans="1:6" s="338" customFormat="1" ht="31.8" thickTop="1" x14ac:dyDescent="0.3">
      <c r="A95" s="297">
        <v>35</v>
      </c>
      <c r="B95" s="312" t="s">
        <v>300</v>
      </c>
      <c r="C95" s="309"/>
      <c r="D95" s="310"/>
      <c r="E95" s="341"/>
      <c r="F95" s="341"/>
    </row>
    <row r="96" spans="1:6" s="338" customFormat="1" x14ac:dyDescent="0.3">
      <c r="A96" s="314"/>
      <c r="B96" s="290" t="s">
        <v>301</v>
      </c>
      <c r="C96" s="286" t="s">
        <v>239</v>
      </c>
      <c r="D96" s="303" t="s">
        <v>295</v>
      </c>
      <c r="E96" s="341"/>
      <c r="F96" s="341"/>
    </row>
    <row r="97" spans="1:6" s="338" customFormat="1" x14ac:dyDescent="0.3">
      <c r="A97" s="314"/>
      <c r="B97" s="290" t="s">
        <v>302</v>
      </c>
      <c r="C97" s="286" t="s">
        <v>239</v>
      </c>
      <c r="D97" s="303">
        <v>321649</v>
      </c>
      <c r="E97" s="342"/>
      <c r="F97" s="341"/>
    </row>
    <row r="98" spans="1:6" s="338" customFormat="1" ht="31.2" x14ac:dyDescent="0.3">
      <c r="A98" s="314"/>
      <c r="B98" s="315" t="s">
        <v>303</v>
      </c>
      <c r="C98" s="286"/>
      <c r="D98" s="303"/>
      <c r="E98" s="341"/>
      <c r="F98" s="341"/>
    </row>
    <row r="99" spans="1:6" s="338" customFormat="1" x14ac:dyDescent="0.3">
      <c r="A99" s="314"/>
      <c r="B99" s="290" t="s">
        <v>301</v>
      </c>
      <c r="C99" s="286" t="s">
        <v>239</v>
      </c>
      <c r="D99" s="303" t="s">
        <v>295</v>
      </c>
      <c r="E99" s="341"/>
      <c r="F99" s="341"/>
    </row>
    <row r="100" spans="1:6" s="338" customFormat="1" ht="16.2" thickBot="1" x14ac:dyDescent="0.35">
      <c r="A100" s="316"/>
      <c r="B100" s="305" t="s">
        <v>302</v>
      </c>
      <c r="C100" s="306" t="s">
        <v>239</v>
      </c>
      <c r="D100" s="307">
        <v>364825</v>
      </c>
      <c r="E100" s="341"/>
      <c r="F100" s="341"/>
    </row>
    <row r="101" spans="1:6" s="338" customFormat="1" ht="16.2" thickTop="1" x14ac:dyDescent="0.3">
      <c r="A101" s="324" t="s">
        <v>271</v>
      </c>
      <c r="B101" s="325"/>
      <c r="C101" s="325"/>
      <c r="D101" s="326"/>
      <c r="E101" s="341"/>
      <c r="F101" s="341"/>
    </row>
    <row r="102" spans="1:6" s="338" customFormat="1" x14ac:dyDescent="0.3">
      <c r="A102" s="301">
        <v>36</v>
      </c>
      <c r="B102" s="315" t="s">
        <v>272</v>
      </c>
      <c r="C102" s="286" t="s">
        <v>295</v>
      </c>
      <c r="D102" s="311" t="s">
        <v>65</v>
      </c>
      <c r="E102" s="341"/>
      <c r="F102" s="341"/>
    </row>
    <row r="103" spans="1:6" s="338" customFormat="1" x14ac:dyDescent="0.3">
      <c r="A103" s="314"/>
      <c r="B103" s="315" t="s">
        <v>273</v>
      </c>
      <c r="C103" s="286" t="s">
        <v>295</v>
      </c>
      <c r="D103" s="311" t="s">
        <v>281</v>
      </c>
      <c r="E103" s="341"/>
      <c r="F103" s="341"/>
    </row>
    <row r="104" spans="1:6" s="338" customFormat="1" x14ac:dyDescent="0.3">
      <c r="A104" s="314"/>
      <c r="B104" s="315" t="s">
        <v>275</v>
      </c>
      <c r="C104" s="286" t="s">
        <v>276</v>
      </c>
      <c r="D104" s="319"/>
      <c r="E104" s="341"/>
      <c r="F104" s="341"/>
    </row>
    <row r="105" spans="1:6" s="338" customFormat="1" x14ac:dyDescent="0.3">
      <c r="A105" s="314"/>
      <c r="B105" s="315" t="s">
        <v>277</v>
      </c>
      <c r="C105" s="286" t="s">
        <v>239</v>
      </c>
      <c r="D105" s="303"/>
      <c r="E105" s="341"/>
      <c r="F105" s="341"/>
    </row>
    <row r="106" spans="1:6" s="338" customFormat="1" x14ac:dyDescent="0.3">
      <c r="A106" s="314"/>
      <c r="B106" s="290" t="s">
        <v>278</v>
      </c>
      <c r="C106" s="286" t="s">
        <v>239</v>
      </c>
      <c r="D106" s="303"/>
      <c r="E106" s="341"/>
      <c r="F106" s="341"/>
    </row>
    <row r="107" spans="1:6" s="338" customFormat="1" x14ac:dyDescent="0.3">
      <c r="A107" s="314"/>
      <c r="B107" s="290" t="s">
        <v>315</v>
      </c>
      <c r="C107" s="286" t="s">
        <v>239</v>
      </c>
      <c r="D107" s="303"/>
      <c r="E107" s="341"/>
      <c r="F107" s="341"/>
    </row>
    <row r="108" spans="1:6" s="338" customFormat="1" x14ac:dyDescent="0.3">
      <c r="A108" s="314"/>
      <c r="B108" s="290" t="s">
        <v>279</v>
      </c>
      <c r="C108" s="286" t="s">
        <v>239</v>
      </c>
      <c r="D108" s="303"/>
      <c r="E108" s="341"/>
      <c r="F108" s="341"/>
    </row>
    <row r="109" spans="1:6" s="338" customFormat="1" x14ac:dyDescent="0.3">
      <c r="A109" s="314"/>
      <c r="B109" s="290" t="s">
        <v>280</v>
      </c>
      <c r="C109" s="286" t="s">
        <v>239</v>
      </c>
      <c r="D109" s="303"/>
      <c r="E109" s="341"/>
      <c r="F109" s="341"/>
    </row>
    <row r="110" spans="1:6" s="338" customFormat="1" ht="31.2" x14ac:dyDescent="0.3">
      <c r="A110" s="314"/>
      <c r="B110" s="290" t="s">
        <v>305</v>
      </c>
      <c r="C110" s="286" t="s">
        <v>239</v>
      </c>
      <c r="D110" s="303" t="s">
        <v>295</v>
      </c>
      <c r="E110" s="341"/>
      <c r="F110" s="341"/>
    </row>
    <row r="111" spans="1:6" s="338" customFormat="1" ht="31.8" thickBot="1" x14ac:dyDescent="0.35">
      <c r="A111" s="316"/>
      <c r="B111" s="317" t="s">
        <v>306</v>
      </c>
      <c r="C111" s="306" t="s">
        <v>239</v>
      </c>
      <c r="D111" s="307" t="s">
        <v>295</v>
      </c>
      <c r="E111" s="341"/>
      <c r="F111" s="341"/>
    </row>
    <row r="112" spans="1:6" s="338" customFormat="1" ht="16.2" thickTop="1" x14ac:dyDescent="0.3">
      <c r="A112" s="301">
        <v>37</v>
      </c>
      <c r="B112" s="315" t="s">
        <v>272</v>
      </c>
      <c r="C112" s="286" t="s">
        <v>295</v>
      </c>
      <c r="D112" s="322" t="s">
        <v>237</v>
      </c>
      <c r="E112" s="341"/>
      <c r="F112" s="341"/>
    </row>
    <row r="113" spans="1:6" s="338" customFormat="1" x14ac:dyDescent="0.3">
      <c r="A113" s="314"/>
      <c r="B113" s="315" t="s">
        <v>273</v>
      </c>
      <c r="C113" s="286" t="s">
        <v>295</v>
      </c>
      <c r="D113" s="311" t="s">
        <v>274</v>
      </c>
      <c r="E113" s="341"/>
      <c r="F113" s="341"/>
    </row>
    <row r="114" spans="1:6" s="338" customFormat="1" x14ac:dyDescent="0.3">
      <c r="A114" s="314"/>
      <c r="B114" s="315" t="s">
        <v>275</v>
      </c>
      <c r="C114" s="286" t="s">
        <v>276</v>
      </c>
      <c r="D114" s="319">
        <v>856</v>
      </c>
      <c r="E114" s="341"/>
      <c r="F114" s="341"/>
    </row>
    <row r="115" spans="1:6" s="338" customFormat="1" x14ac:dyDescent="0.3">
      <c r="A115" s="314"/>
      <c r="B115" s="315" t="s">
        <v>277</v>
      </c>
      <c r="C115" s="286" t="s">
        <v>239</v>
      </c>
      <c r="D115" s="303">
        <v>38551</v>
      </c>
      <c r="E115" s="341"/>
      <c r="F115" s="341"/>
    </row>
    <row r="116" spans="1:6" s="338" customFormat="1" x14ac:dyDescent="0.3">
      <c r="A116" s="314"/>
      <c r="B116" s="290" t="s">
        <v>278</v>
      </c>
      <c r="C116" s="286" t="s">
        <v>239</v>
      </c>
      <c r="D116" s="303">
        <v>38806</v>
      </c>
      <c r="E116" s="341"/>
      <c r="F116" s="341"/>
    </row>
    <row r="117" spans="1:6" s="338" customFormat="1" x14ac:dyDescent="0.3">
      <c r="A117" s="314"/>
      <c r="B117" s="290" t="s">
        <v>315</v>
      </c>
      <c r="C117" s="286" t="s">
        <v>239</v>
      </c>
      <c r="D117" s="303">
        <f>D115-D116</f>
        <v>-255</v>
      </c>
      <c r="E117" s="341"/>
      <c r="F117" s="341"/>
    </row>
    <row r="118" spans="1:6" s="338" customFormat="1" x14ac:dyDescent="0.3">
      <c r="A118" s="314"/>
      <c r="B118" s="290" t="s">
        <v>279</v>
      </c>
      <c r="C118" s="286" t="s">
        <v>239</v>
      </c>
      <c r="D118" s="303">
        <f>D115</f>
        <v>38551</v>
      </c>
      <c r="E118" s="341"/>
      <c r="F118" s="341"/>
    </row>
    <row r="119" spans="1:6" s="338" customFormat="1" x14ac:dyDescent="0.3">
      <c r="A119" s="314"/>
      <c r="B119" s="290" t="s">
        <v>280</v>
      </c>
      <c r="C119" s="286" t="s">
        <v>239</v>
      </c>
      <c r="D119" s="303">
        <f>D115</f>
        <v>38551</v>
      </c>
      <c r="E119" s="341"/>
      <c r="F119" s="341"/>
    </row>
    <row r="120" spans="1:6" s="338" customFormat="1" ht="31.2" x14ac:dyDescent="0.3">
      <c r="A120" s="314"/>
      <c r="B120" s="290" t="s">
        <v>305</v>
      </c>
      <c r="C120" s="286" t="s">
        <v>239</v>
      </c>
      <c r="D120" s="303" t="s">
        <v>295</v>
      </c>
      <c r="E120" s="341"/>
      <c r="F120" s="341"/>
    </row>
    <row r="121" spans="1:6" s="338" customFormat="1" ht="31.8" thickBot="1" x14ac:dyDescent="0.35">
      <c r="A121" s="316"/>
      <c r="B121" s="317" t="s">
        <v>306</v>
      </c>
      <c r="C121" s="306" t="s">
        <v>239</v>
      </c>
      <c r="D121" s="307" t="s">
        <v>295</v>
      </c>
      <c r="E121" s="341"/>
      <c r="F121" s="341"/>
    </row>
    <row r="122" spans="1:6" s="338" customFormat="1" ht="16.2" thickTop="1" x14ac:dyDescent="0.3">
      <c r="A122" s="301">
        <v>38</v>
      </c>
      <c r="B122" s="315" t="s">
        <v>272</v>
      </c>
      <c r="C122" s="286" t="s">
        <v>295</v>
      </c>
      <c r="D122" s="322" t="s">
        <v>243</v>
      </c>
      <c r="E122" s="341"/>
      <c r="F122" s="341"/>
    </row>
    <row r="123" spans="1:6" s="338" customFormat="1" x14ac:dyDescent="0.3">
      <c r="A123" s="314"/>
      <c r="B123" s="315" t="s">
        <v>273</v>
      </c>
      <c r="C123" s="286" t="s">
        <v>295</v>
      </c>
      <c r="D123" s="311" t="s">
        <v>274</v>
      </c>
      <c r="E123" s="341"/>
      <c r="F123" s="341"/>
    </row>
    <row r="124" spans="1:6" s="338" customFormat="1" x14ac:dyDescent="0.3">
      <c r="A124" s="314"/>
      <c r="B124" s="315" t="s">
        <v>275</v>
      </c>
      <c r="C124" s="286" t="s">
        <v>276</v>
      </c>
      <c r="D124" s="319"/>
      <c r="E124" s="341"/>
      <c r="F124" s="341"/>
    </row>
    <row r="125" spans="1:6" s="338" customFormat="1" x14ac:dyDescent="0.3">
      <c r="A125" s="314"/>
      <c r="B125" s="315" t="s">
        <v>277</v>
      </c>
      <c r="C125" s="286" t="s">
        <v>239</v>
      </c>
      <c r="D125" s="303"/>
      <c r="E125" s="341"/>
      <c r="F125" s="341"/>
    </row>
    <row r="126" spans="1:6" s="338" customFormat="1" x14ac:dyDescent="0.3">
      <c r="A126" s="314"/>
      <c r="B126" s="290" t="s">
        <v>278</v>
      </c>
      <c r="C126" s="286" t="s">
        <v>239</v>
      </c>
      <c r="D126" s="303"/>
      <c r="E126" s="341"/>
      <c r="F126" s="341"/>
    </row>
    <row r="127" spans="1:6" s="338" customFormat="1" x14ac:dyDescent="0.3">
      <c r="A127" s="314"/>
      <c r="B127" s="290" t="s">
        <v>315</v>
      </c>
      <c r="C127" s="286" t="s">
        <v>239</v>
      </c>
      <c r="D127" s="303"/>
      <c r="E127" s="341"/>
      <c r="F127" s="341"/>
    </row>
    <row r="128" spans="1:6" s="338" customFormat="1" x14ac:dyDescent="0.3">
      <c r="A128" s="314"/>
      <c r="B128" s="290" t="s">
        <v>279</v>
      </c>
      <c r="C128" s="286" t="s">
        <v>239</v>
      </c>
      <c r="D128" s="303"/>
      <c r="E128" s="341"/>
      <c r="F128" s="341"/>
    </row>
    <row r="129" spans="1:6" s="338" customFormat="1" x14ac:dyDescent="0.3">
      <c r="A129" s="314"/>
      <c r="B129" s="290" t="s">
        <v>280</v>
      </c>
      <c r="C129" s="286" t="s">
        <v>239</v>
      </c>
      <c r="D129" s="303"/>
      <c r="E129" s="341"/>
      <c r="F129" s="341"/>
    </row>
    <row r="130" spans="1:6" s="338" customFormat="1" ht="31.2" x14ac:dyDescent="0.3">
      <c r="A130" s="314"/>
      <c r="B130" s="290" t="s">
        <v>305</v>
      </c>
      <c r="C130" s="286" t="s">
        <v>239</v>
      </c>
      <c r="D130" s="303"/>
      <c r="E130" s="341"/>
      <c r="F130" s="341"/>
    </row>
    <row r="131" spans="1:6" s="338" customFormat="1" ht="31.8" thickBot="1" x14ac:dyDescent="0.35">
      <c r="A131" s="316"/>
      <c r="B131" s="317" t="s">
        <v>306</v>
      </c>
      <c r="C131" s="306" t="s">
        <v>239</v>
      </c>
      <c r="D131" s="307"/>
      <c r="E131" s="341"/>
      <c r="F131" s="341"/>
    </row>
    <row r="132" spans="1:6" s="338" customFormat="1" ht="16.2" thickTop="1" x14ac:dyDescent="0.3">
      <c r="A132" s="297">
        <v>40</v>
      </c>
      <c r="B132" s="312" t="s">
        <v>272</v>
      </c>
      <c r="C132" s="309" t="s">
        <v>295</v>
      </c>
      <c r="D132" s="313" t="s">
        <v>236</v>
      </c>
      <c r="E132" s="341"/>
      <c r="F132" s="341"/>
    </row>
    <row r="133" spans="1:6" s="338" customFormat="1" x14ac:dyDescent="0.3">
      <c r="A133" s="314"/>
      <c r="B133" s="315" t="s">
        <v>273</v>
      </c>
      <c r="C133" s="286" t="s">
        <v>295</v>
      </c>
      <c r="D133" s="311" t="s">
        <v>274</v>
      </c>
      <c r="E133" s="341"/>
      <c r="F133" s="341"/>
    </row>
    <row r="134" spans="1:6" s="338" customFormat="1" x14ac:dyDescent="0.3">
      <c r="A134" s="314"/>
      <c r="B134" s="315" t="s">
        <v>275</v>
      </c>
      <c r="C134" s="286" t="s">
        <v>276</v>
      </c>
      <c r="D134" s="319">
        <v>289</v>
      </c>
      <c r="E134" s="341"/>
      <c r="F134" s="341"/>
    </row>
    <row r="135" spans="1:6" s="338" customFormat="1" x14ac:dyDescent="0.3">
      <c r="A135" s="314"/>
      <c r="B135" s="315" t="s">
        <v>277</v>
      </c>
      <c r="C135" s="286" t="s">
        <v>239</v>
      </c>
      <c r="D135" s="303">
        <v>71003</v>
      </c>
      <c r="E135" s="341"/>
      <c r="F135" s="341"/>
    </row>
    <row r="136" spans="1:6" s="338" customFormat="1" x14ac:dyDescent="0.3">
      <c r="A136" s="314"/>
      <c r="B136" s="290" t="s">
        <v>278</v>
      </c>
      <c r="C136" s="286" t="s">
        <v>239</v>
      </c>
      <c r="D136" s="303">
        <v>66241</v>
      </c>
      <c r="E136" s="341"/>
      <c r="F136" s="341"/>
    </row>
    <row r="137" spans="1:6" s="338" customFormat="1" x14ac:dyDescent="0.3">
      <c r="A137" s="314"/>
      <c r="B137" s="290" t="s">
        <v>304</v>
      </c>
      <c r="C137" s="286" t="s">
        <v>239</v>
      </c>
      <c r="D137" s="303">
        <f>D135-D136</f>
        <v>4762</v>
      </c>
      <c r="E137" s="341"/>
      <c r="F137" s="341"/>
    </row>
    <row r="138" spans="1:6" s="338" customFormat="1" x14ac:dyDescent="0.3">
      <c r="A138" s="314"/>
      <c r="B138" s="290" t="s">
        <v>279</v>
      </c>
      <c r="C138" s="286" t="s">
        <v>239</v>
      </c>
      <c r="D138" s="303">
        <f>D135</f>
        <v>71003</v>
      </c>
      <c r="E138" s="341"/>
      <c r="F138" s="341"/>
    </row>
    <row r="139" spans="1:6" s="338" customFormat="1" x14ac:dyDescent="0.3">
      <c r="A139" s="314"/>
      <c r="B139" s="290" t="s">
        <v>280</v>
      </c>
      <c r="C139" s="286" t="s">
        <v>239</v>
      </c>
      <c r="D139" s="303">
        <f>D135</f>
        <v>71003</v>
      </c>
      <c r="E139" s="341"/>
      <c r="F139" s="341"/>
    </row>
    <row r="140" spans="1:6" s="338" customFormat="1" ht="31.2" x14ac:dyDescent="0.3">
      <c r="A140" s="314"/>
      <c r="B140" s="290" t="s">
        <v>305</v>
      </c>
      <c r="C140" s="286" t="s">
        <v>239</v>
      </c>
      <c r="D140" s="303" t="s">
        <v>295</v>
      </c>
      <c r="E140" s="341"/>
      <c r="F140" s="341"/>
    </row>
    <row r="141" spans="1:6" s="338" customFormat="1" ht="31.8" thickBot="1" x14ac:dyDescent="0.35">
      <c r="A141" s="316"/>
      <c r="B141" s="317" t="s">
        <v>306</v>
      </c>
      <c r="C141" s="306" t="s">
        <v>239</v>
      </c>
      <c r="D141" s="307" t="s">
        <v>295</v>
      </c>
      <c r="E141" s="341"/>
      <c r="F141" s="341"/>
    </row>
    <row r="142" spans="1:6" s="338" customFormat="1" ht="16.8" thickTop="1" thickBot="1" x14ac:dyDescent="0.35">
      <c r="A142" s="324" t="s">
        <v>307</v>
      </c>
      <c r="B142" s="325"/>
      <c r="C142" s="325"/>
      <c r="D142" s="326"/>
      <c r="E142" s="341"/>
      <c r="F142" s="341"/>
    </row>
    <row r="143" spans="1:6" s="338" customFormat="1" ht="16.2" thickTop="1" x14ac:dyDescent="0.3">
      <c r="A143" s="297">
        <v>41</v>
      </c>
      <c r="B143" s="312" t="s">
        <v>294</v>
      </c>
      <c r="C143" s="309" t="s">
        <v>284</v>
      </c>
      <c r="D143" s="313" t="s">
        <v>295</v>
      </c>
      <c r="E143" s="341"/>
      <c r="F143" s="341"/>
    </row>
    <row r="144" spans="1:6" s="338" customFormat="1" x14ac:dyDescent="0.3">
      <c r="A144" s="314"/>
      <c r="B144" s="315" t="s">
        <v>296</v>
      </c>
      <c r="C144" s="286" t="s">
        <v>284</v>
      </c>
      <c r="D144" s="311" t="s">
        <v>295</v>
      </c>
      <c r="E144" s="341"/>
      <c r="F144" s="341"/>
    </row>
    <row r="145" spans="1:225" s="338" customFormat="1" x14ac:dyDescent="0.3">
      <c r="A145" s="314"/>
      <c r="B145" s="315" t="s">
        <v>297</v>
      </c>
      <c r="C145" s="286" t="s">
        <v>284</v>
      </c>
      <c r="D145" s="311" t="s">
        <v>295</v>
      </c>
      <c r="E145" s="341"/>
      <c r="F145" s="341"/>
    </row>
    <row r="146" spans="1:225" s="338" customFormat="1" ht="16.2" thickBot="1" x14ac:dyDescent="0.35">
      <c r="A146" s="316"/>
      <c r="B146" s="317" t="s">
        <v>298</v>
      </c>
      <c r="C146" s="306" t="s">
        <v>239</v>
      </c>
      <c r="D146" s="318" t="s">
        <v>295</v>
      </c>
      <c r="E146" s="341"/>
      <c r="F146" s="341"/>
    </row>
    <row r="147" spans="1:225" s="338" customFormat="1" ht="16.8" thickTop="1" thickBot="1" x14ac:dyDescent="0.35">
      <c r="A147" s="327" t="s">
        <v>282</v>
      </c>
      <c r="B147" s="328"/>
      <c r="C147" s="328"/>
      <c r="D147" s="329"/>
      <c r="E147" s="341"/>
      <c r="F147" s="341"/>
    </row>
    <row r="148" spans="1:225" s="338" customFormat="1" ht="16.2" thickTop="1" x14ac:dyDescent="0.3">
      <c r="A148" s="297">
        <v>42</v>
      </c>
      <c r="B148" s="312" t="s">
        <v>283</v>
      </c>
      <c r="C148" s="309" t="s">
        <v>284</v>
      </c>
      <c r="D148" s="320">
        <v>0</v>
      </c>
      <c r="E148" s="341"/>
      <c r="F148" s="341"/>
    </row>
    <row r="149" spans="1:225" s="338" customFormat="1" x14ac:dyDescent="0.3">
      <c r="A149" s="314"/>
      <c r="B149" s="315" t="s">
        <v>285</v>
      </c>
      <c r="C149" s="286" t="s">
        <v>284</v>
      </c>
      <c r="D149" s="319">
        <v>0</v>
      </c>
      <c r="E149" s="341"/>
      <c r="F149" s="341"/>
    </row>
    <row r="150" spans="1:225" s="338" customFormat="1" ht="31.8" thickBot="1" x14ac:dyDescent="0.35">
      <c r="A150" s="316"/>
      <c r="B150" s="317" t="s">
        <v>286</v>
      </c>
      <c r="C150" s="306" t="s">
        <v>239</v>
      </c>
      <c r="D150" s="321" t="s">
        <v>295</v>
      </c>
      <c r="E150" s="341"/>
      <c r="F150" s="341"/>
    </row>
    <row r="151" spans="1:225" s="344" customFormat="1" ht="16.2" thickTop="1" x14ac:dyDescent="0.3">
      <c r="B151" s="345"/>
      <c r="C151" s="336"/>
      <c r="D151" s="336"/>
      <c r="E151" s="336"/>
      <c r="F151" s="336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37"/>
      <c r="BE151" s="337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7"/>
      <c r="CO151" s="337"/>
      <c r="CP151" s="337"/>
      <c r="CQ151" s="337"/>
      <c r="CR151" s="337"/>
      <c r="CS151" s="337"/>
      <c r="CT151" s="337"/>
      <c r="CU151" s="337"/>
      <c r="CV151" s="337"/>
      <c r="CW151" s="337"/>
      <c r="CX151" s="337"/>
      <c r="CY151" s="337"/>
      <c r="CZ151" s="337"/>
      <c r="DA151" s="337"/>
      <c r="DB151" s="337"/>
      <c r="DC151" s="337"/>
      <c r="DD151" s="337"/>
      <c r="DE151" s="337"/>
      <c r="DF151" s="337"/>
      <c r="DG151" s="337"/>
      <c r="DH151" s="337"/>
      <c r="DI151" s="337"/>
      <c r="DJ151" s="337"/>
      <c r="DK151" s="337"/>
      <c r="DL151" s="337"/>
      <c r="DM151" s="337"/>
      <c r="DN151" s="337"/>
      <c r="DO151" s="337"/>
      <c r="DP151" s="337"/>
      <c r="DQ151" s="337"/>
      <c r="DR151" s="337"/>
      <c r="DS151" s="337"/>
      <c r="DT151" s="337"/>
      <c r="DU151" s="337"/>
      <c r="DV151" s="337"/>
      <c r="DW151" s="337"/>
      <c r="DX151" s="337"/>
      <c r="DY151" s="337"/>
      <c r="DZ151" s="337"/>
      <c r="EA151" s="337"/>
      <c r="EB151" s="337"/>
      <c r="EC151" s="337"/>
      <c r="ED151" s="337"/>
      <c r="EE151" s="337"/>
      <c r="EF151" s="337"/>
      <c r="EG151" s="337"/>
      <c r="EH151" s="337"/>
      <c r="EI151" s="337"/>
      <c r="EJ151" s="337"/>
      <c r="EK151" s="337"/>
      <c r="EL151" s="337"/>
      <c r="EM151" s="337"/>
      <c r="EN151" s="337"/>
      <c r="EO151" s="337"/>
      <c r="EP151" s="337"/>
      <c r="EQ151" s="337"/>
      <c r="ER151" s="337"/>
      <c r="ES151" s="337"/>
      <c r="ET151" s="337"/>
      <c r="EU151" s="337"/>
      <c r="EV151" s="337"/>
      <c r="EW151" s="337"/>
      <c r="EX151" s="337"/>
      <c r="EY151" s="337"/>
      <c r="EZ151" s="337"/>
      <c r="FA151" s="337"/>
      <c r="FB151" s="337"/>
      <c r="FC151" s="337"/>
      <c r="FD151" s="337"/>
      <c r="FE151" s="337"/>
      <c r="FF151" s="337"/>
      <c r="FG151" s="337"/>
      <c r="FH151" s="337"/>
      <c r="FI151" s="337"/>
      <c r="FJ151" s="337"/>
      <c r="FK151" s="337"/>
      <c r="FL151" s="337"/>
      <c r="FM151" s="337"/>
      <c r="FN151" s="337"/>
      <c r="FO151" s="337"/>
      <c r="FP151" s="337"/>
      <c r="FQ151" s="337"/>
      <c r="FR151" s="337"/>
      <c r="FS151" s="337"/>
      <c r="FT151" s="337"/>
      <c r="FU151" s="337"/>
      <c r="FV151" s="337"/>
      <c r="FW151" s="337"/>
      <c r="FX151" s="337"/>
      <c r="FY151" s="337"/>
      <c r="FZ151" s="337"/>
      <c r="GA151" s="337"/>
      <c r="GB151" s="337"/>
      <c r="GC151" s="337"/>
      <c r="GD151" s="337"/>
      <c r="GE151" s="337"/>
      <c r="GF151" s="337"/>
      <c r="GG151" s="337"/>
      <c r="GH151" s="337"/>
      <c r="GI151" s="337"/>
      <c r="GJ151" s="337"/>
      <c r="GK151" s="337"/>
      <c r="GL151" s="337"/>
      <c r="GM151" s="337"/>
      <c r="GN151" s="337"/>
      <c r="GO151" s="337"/>
      <c r="GP151" s="337"/>
      <c r="GQ151" s="337"/>
      <c r="GR151" s="337"/>
      <c r="GS151" s="337"/>
      <c r="GT151" s="337"/>
      <c r="GU151" s="337"/>
      <c r="GV151" s="337"/>
      <c r="GW151" s="337"/>
      <c r="GX151" s="337"/>
      <c r="GY151" s="337"/>
      <c r="GZ151" s="337"/>
      <c r="HA151" s="337"/>
      <c r="HB151" s="337"/>
      <c r="HC151" s="337"/>
      <c r="HD151" s="337"/>
      <c r="HE151" s="337"/>
      <c r="HF151" s="337"/>
      <c r="HG151" s="337"/>
      <c r="HH151" s="337"/>
      <c r="HI151" s="337"/>
      <c r="HJ151" s="337"/>
      <c r="HK151" s="337"/>
      <c r="HL151" s="337"/>
      <c r="HM151" s="337"/>
      <c r="HN151" s="337"/>
      <c r="HO151" s="337"/>
      <c r="HP151" s="337"/>
      <c r="HQ151" s="337"/>
    </row>
  </sheetData>
  <mergeCells count="8">
    <mergeCell ref="A142:D142"/>
    <mergeCell ref="A147:D147"/>
    <mergeCell ref="A1:D1"/>
    <mergeCell ref="A9:D9"/>
    <mergeCell ref="A24:D24"/>
    <mergeCell ref="A89:D89"/>
    <mergeCell ref="A94:D94"/>
    <mergeCell ref="A101:D101"/>
  </mergeCells>
  <conditionalFormatting sqref="D18:D19 D16 D102:D103 D132:D134 D33:D68">
    <cfRule type="cellIs" dxfId="35" priority="65" operator="equal">
      <formula>0</formula>
    </cfRule>
  </conditionalFormatting>
  <conditionalFormatting sqref="D81:D83">
    <cfRule type="cellIs" dxfId="34" priority="46" operator="equal">
      <formula>0</formula>
    </cfRule>
  </conditionalFormatting>
  <conditionalFormatting sqref="D136:D139">
    <cfRule type="cellIs" dxfId="33" priority="45" operator="equal">
      <formula>0</formula>
    </cfRule>
  </conditionalFormatting>
  <conditionalFormatting sqref="D135">
    <cfRule type="cellIs" dxfId="32" priority="44" operator="equal">
      <formula>0</formula>
    </cfRule>
  </conditionalFormatting>
  <conditionalFormatting sqref="D140">
    <cfRule type="cellIs" dxfId="31" priority="43" operator="equal">
      <formula>0</formula>
    </cfRule>
  </conditionalFormatting>
  <conditionalFormatting sqref="D144:D147">
    <cfRule type="cellIs" dxfId="30" priority="42" operator="equal">
      <formula>0</formula>
    </cfRule>
  </conditionalFormatting>
  <conditionalFormatting sqref="D149:D150">
    <cfRule type="cellIs" dxfId="29" priority="41" operator="equal">
      <formula>0</formula>
    </cfRule>
  </conditionalFormatting>
  <conditionalFormatting sqref="D148">
    <cfRule type="cellIs" dxfId="28" priority="40" operator="equal">
      <formula>0</formula>
    </cfRule>
  </conditionalFormatting>
  <conditionalFormatting sqref="D108:D111">
    <cfRule type="cellIs" dxfId="27" priority="39" operator="equal">
      <formula>0</formula>
    </cfRule>
  </conditionalFormatting>
  <conditionalFormatting sqref="D101">
    <cfRule type="cellIs" dxfId="26" priority="38" operator="equal">
      <formula>0</formula>
    </cfRule>
  </conditionalFormatting>
  <conditionalFormatting sqref="D85:D88">
    <cfRule type="cellIs" dxfId="25" priority="37" operator="equal">
      <formula>0</formula>
    </cfRule>
  </conditionalFormatting>
  <conditionalFormatting sqref="D27:D32">
    <cfRule type="cellIs" dxfId="24" priority="36" operator="equal">
      <formula>0</formula>
    </cfRule>
  </conditionalFormatting>
  <conditionalFormatting sqref="D143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D22:D23">
    <cfRule type="cellIs" dxfId="21" priority="33" operator="equal">
      <formula>0</formula>
    </cfRule>
  </conditionalFormatting>
  <conditionalFormatting sqref="D22:D23">
    <cfRule type="cellIs" dxfId="20" priority="32" operator="equal">
      <formula>0</formula>
    </cfRule>
  </conditionalFormatting>
  <conditionalFormatting sqref="D19">
    <cfRule type="cellIs" dxfId="19" priority="31" operator="equal">
      <formula>0</formula>
    </cfRule>
  </conditionalFormatting>
  <conditionalFormatting sqref="D18">
    <cfRule type="cellIs" dxfId="18" priority="30" operator="equal">
      <formula>0</formula>
    </cfRule>
  </conditionalFormatting>
  <conditionalFormatting sqref="D11:D12">
    <cfRule type="cellIs" dxfId="17" priority="29" operator="equal">
      <formula>0</formula>
    </cfRule>
  </conditionalFormatting>
  <conditionalFormatting sqref="D91:D95">
    <cfRule type="cellIs" dxfId="16" priority="28" operator="equal">
      <formula>0</formula>
    </cfRule>
  </conditionalFormatting>
  <conditionalFormatting sqref="D96:D97">
    <cfRule type="cellIs" dxfId="15" priority="27" operator="equal">
      <formula>0</formula>
    </cfRule>
  </conditionalFormatting>
  <conditionalFormatting sqref="D96:D97">
    <cfRule type="cellIs" dxfId="14" priority="26" operator="equal">
      <formula>0</formula>
    </cfRule>
  </conditionalFormatting>
  <conditionalFormatting sqref="D104">
    <cfRule type="cellIs" dxfId="13" priority="25" operator="equal">
      <formula>0</formula>
    </cfRule>
  </conditionalFormatting>
  <conditionalFormatting sqref="D107">
    <cfRule type="cellIs" dxfId="12" priority="24" operator="equal">
      <formula>0</formula>
    </cfRule>
  </conditionalFormatting>
  <conditionalFormatting sqref="D69:D71">
    <cfRule type="cellIs" dxfId="11" priority="20" operator="equal">
      <formula>0</formula>
    </cfRule>
  </conditionalFormatting>
  <conditionalFormatting sqref="D77:D79">
    <cfRule type="cellIs" dxfId="10" priority="19" operator="equal">
      <formula>0</formula>
    </cfRule>
  </conditionalFormatting>
  <conditionalFormatting sqref="D73:D75">
    <cfRule type="cellIs" dxfId="9" priority="14" operator="equal">
      <formula>0</formula>
    </cfRule>
  </conditionalFormatting>
  <conditionalFormatting sqref="D112:D113">
    <cfRule type="cellIs" dxfId="8" priority="13" operator="equal">
      <formula>0</formula>
    </cfRule>
  </conditionalFormatting>
  <conditionalFormatting sqref="D118:D121">
    <cfRule type="cellIs" dxfId="7" priority="12" operator="equal">
      <formula>0</formula>
    </cfRule>
  </conditionalFormatting>
  <conditionalFormatting sqref="D114">
    <cfRule type="cellIs" dxfId="6" priority="11" operator="equal">
      <formula>0</formula>
    </cfRule>
  </conditionalFormatting>
  <conditionalFormatting sqref="D117">
    <cfRule type="cellIs" dxfId="5" priority="10" operator="equal">
      <formula>0</formula>
    </cfRule>
  </conditionalFormatting>
  <conditionalFormatting sqref="D122:D123">
    <cfRule type="cellIs" dxfId="4" priority="9" operator="equal">
      <formula>0</formula>
    </cfRule>
  </conditionalFormatting>
  <conditionalFormatting sqref="D128:D131">
    <cfRule type="cellIs" dxfId="3" priority="8" operator="equal">
      <formula>0</formula>
    </cfRule>
  </conditionalFormatting>
  <conditionalFormatting sqref="D124">
    <cfRule type="cellIs" dxfId="2" priority="7" operator="equal">
      <formula>0</formula>
    </cfRule>
  </conditionalFormatting>
  <conditionalFormatting sqref="D127">
    <cfRule type="cellIs" dxfId="1" priority="6" operator="equal">
      <formula>0</formula>
    </cfRule>
  </conditionalFormatting>
  <conditionalFormatting sqref="D25:D2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0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Европа</vt:lpstr>
      <vt:lpstr>Европа!Область_печати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Озарнова Н.А.</cp:lastModifiedBy>
  <dcterms:created xsi:type="dcterms:W3CDTF">2022-02-14T07:28:50Z</dcterms:created>
  <dcterms:modified xsi:type="dcterms:W3CDTF">2023-03-23T11:49:37Z</dcterms:modified>
</cp:coreProperties>
</file>